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wking/Dropbox/Documents/CH278 J-to-$$/Car/"/>
    </mc:Choice>
  </mc:AlternateContent>
  <xr:revisionPtr revIDLastSave="0" documentId="10_ncr:8100000_{3F333903-345E-F04F-B08F-AE00489CA299}" xr6:coauthVersionLast="32" xr6:coauthVersionMax="32" xr10:uidLastSave="{00000000-0000-0000-0000-000000000000}"/>
  <bookViews>
    <workbookView xWindow="0" yWindow="460" windowWidth="28800" windowHeight="15480" tabRatio="500" xr2:uid="{00000000-000D-0000-FFFF-FFFF00000000}"/>
  </bookViews>
  <sheets>
    <sheet name="Sheet1" sheetId="1" r:id="rId1"/>
    <sheet name="Sheet2" sheetId="2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7" i="1" l="1"/>
  <c r="J7" i="1"/>
  <c r="H15" i="2" l="1"/>
  <c r="H16" i="2" s="1"/>
  <c r="H21" i="2" s="1"/>
  <c r="H18" i="2"/>
  <c r="H12" i="2"/>
  <c r="H19" i="2"/>
  <c r="H13" i="2"/>
  <c r="H11" i="2"/>
  <c r="H39" i="1"/>
  <c r="L39" i="1"/>
  <c r="O39" i="1"/>
  <c r="I39" i="1"/>
  <c r="J39" i="1"/>
  <c r="G40" i="1"/>
  <c r="G41" i="1" s="1"/>
  <c r="C29" i="1"/>
  <c r="C27" i="1"/>
  <c r="D27" i="1"/>
  <c r="P40" i="1"/>
  <c r="P41" i="1"/>
  <c r="P42" i="1"/>
  <c r="P39" i="1"/>
  <c r="Q42" i="1"/>
  <c r="R42" i="1"/>
  <c r="Q39" i="1"/>
  <c r="R39" i="1"/>
  <c r="S39" i="1" s="1"/>
  <c r="D39" i="1" s="1"/>
  <c r="C39" i="1" s="1"/>
  <c r="B39" i="1" s="1"/>
  <c r="N42" i="1"/>
  <c r="F42" i="1"/>
  <c r="N41" i="1"/>
  <c r="F41" i="1"/>
  <c r="Q41" i="1" s="1"/>
  <c r="R41" i="1" s="1"/>
  <c r="N40" i="1"/>
  <c r="F40" i="1"/>
  <c r="Q40" i="1" s="1"/>
  <c r="R40" i="1" s="1"/>
  <c r="N39" i="1"/>
  <c r="F39" i="1"/>
  <c r="L10" i="2"/>
  <c r="L11" i="2"/>
  <c r="L12" i="2"/>
  <c r="L13" i="2"/>
  <c r="L14" i="2"/>
  <c r="L15" i="2"/>
  <c r="L16" i="2"/>
  <c r="L17" i="2"/>
  <c r="L18" i="2"/>
  <c r="L19" i="2"/>
  <c r="L9" i="2"/>
  <c r="L20" i="2" s="1"/>
  <c r="K20" i="2"/>
  <c r="Q28" i="1"/>
  <c r="R28" i="1" s="1"/>
  <c r="Q10" i="1"/>
  <c r="R10" i="1" s="1"/>
  <c r="D19" i="2"/>
  <c r="D15" i="2"/>
  <c r="D16" i="2" s="1"/>
  <c r="D21" i="2" s="1"/>
  <c r="E18" i="2"/>
  <c r="E19" i="2"/>
  <c r="F18" i="2"/>
  <c r="F19" i="2"/>
  <c r="G12" i="2"/>
  <c r="G18" i="2"/>
  <c r="G19" i="2"/>
  <c r="C15" i="2"/>
  <c r="C16" i="2"/>
  <c r="G11" i="2"/>
  <c r="G15" i="2"/>
  <c r="G16" i="2" s="1"/>
  <c r="G21" i="2" s="1"/>
  <c r="F13" i="2"/>
  <c r="G13" i="2"/>
  <c r="E13" i="2"/>
  <c r="D12" i="2"/>
  <c r="D13" i="2" s="1"/>
  <c r="E12" i="2"/>
  <c r="F12" i="2"/>
  <c r="C12" i="2"/>
  <c r="C19" i="2" s="1"/>
  <c r="C21" i="2" s="1"/>
  <c r="F8" i="2"/>
  <c r="F15" i="2"/>
  <c r="F16" i="2" s="1"/>
  <c r="F21" i="2" s="1"/>
  <c r="F11" i="2"/>
  <c r="E15" i="2"/>
  <c r="E16" i="2" s="1"/>
  <c r="E21" i="2" s="1"/>
  <c r="E11" i="2"/>
  <c r="D11" i="2"/>
  <c r="C11" i="2"/>
  <c r="L27" i="1"/>
  <c r="O27" i="1"/>
  <c r="C30" i="1"/>
  <c r="C28" i="1"/>
  <c r="D28" i="1"/>
  <c r="N30" i="1"/>
  <c r="G28" i="1"/>
  <c r="H28" i="1" s="1"/>
  <c r="G29" i="1"/>
  <c r="G30" i="1" s="1"/>
  <c r="H30" i="1" s="1"/>
  <c r="F30" i="1"/>
  <c r="Q30" i="1" s="1"/>
  <c r="R30" i="1" s="1"/>
  <c r="N29" i="1"/>
  <c r="F29" i="1"/>
  <c r="Q29" i="1" s="1"/>
  <c r="R29" i="1" s="1"/>
  <c r="N28" i="1"/>
  <c r="F28" i="1"/>
  <c r="N27" i="1"/>
  <c r="H27" i="1"/>
  <c r="F27" i="1"/>
  <c r="Q27" i="1" s="1"/>
  <c r="R27" i="1" s="1"/>
  <c r="I27" i="1"/>
  <c r="J27" i="1" s="1"/>
  <c r="G9" i="1"/>
  <c r="G10" i="1" s="1"/>
  <c r="H10" i="1" s="1"/>
  <c r="G8" i="1"/>
  <c r="F9" i="1"/>
  <c r="Q9" i="1" s="1"/>
  <c r="R9" i="1" s="1"/>
  <c r="F7" i="1"/>
  <c r="I7" i="1" s="1"/>
  <c r="H7" i="1"/>
  <c r="F10" i="1"/>
  <c r="C10" i="1"/>
  <c r="K17" i="1"/>
  <c r="D30" i="1" s="1"/>
  <c r="D10" i="1"/>
  <c r="C9" i="1"/>
  <c r="D9" i="1"/>
  <c r="N9" i="1"/>
  <c r="N10" i="1"/>
  <c r="H8" i="1"/>
  <c r="L8" i="1" s="1"/>
  <c r="O8" i="1" s="1"/>
  <c r="S8" i="1" s="1"/>
  <c r="T8" i="1" s="1"/>
  <c r="N8" i="1"/>
  <c r="F8" i="1"/>
  <c r="Q8" i="1" s="1"/>
  <c r="R8" i="1" s="1"/>
  <c r="I8" i="1"/>
  <c r="J8" i="1"/>
  <c r="C8" i="1"/>
  <c r="D8" i="1" s="1"/>
  <c r="K18" i="1"/>
  <c r="L7" i="1"/>
  <c r="N7" i="1"/>
  <c r="O7" i="1"/>
  <c r="C7" i="1"/>
  <c r="D7" i="1"/>
  <c r="I30" i="1" l="1"/>
  <c r="J30" i="1" s="1"/>
  <c r="L30" i="1"/>
  <c r="O40" i="1"/>
  <c r="S40" i="1" s="1"/>
  <c r="D40" i="1" s="1"/>
  <c r="C40" i="1" s="1"/>
  <c r="B40" i="1" s="1"/>
  <c r="I28" i="1"/>
  <c r="J28" i="1" s="1"/>
  <c r="L28" i="1"/>
  <c r="O28" i="1" s="1"/>
  <c r="S28" i="1" s="1"/>
  <c r="T28" i="1" s="1"/>
  <c r="O30" i="1"/>
  <c r="S30" i="1" s="1"/>
  <c r="T30" i="1" s="1"/>
  <c r="L10" i="1"/>
  <c r="O10" i="1" s="1"/>
  <c r="I10" i="1"/>
  <c r="J10" i="1" s="1"/>
  <c r="S27" i="1"/>
  <c r="T27" i="1" s="1"/>
  <c r="U27" i="1" s="1"/>
  <c r="H41" i="1"/>
  <c r="L41" i="1" s="1"/>
  <c r="O41" i="1" s="1"/>
  <c r="S41" i="1" s="1"/>
  <c r="D41" i="1" s="1"/>
  <c r="C41" i="1" s="1"/>
  <c r="B41" i="1" s="1"/>
  <c r="G42" i="1"/>
  <c r="H42" i="1" s="1"/>
  <c r="Q7" i="1"/>
  <c r="R7" i="1" s="1"/>
  <c r="S7" i="1" s="1"/>
  <c r="H40" i="1"/>
  <c r="L40" i="1" s="1"/>
  <c r="I40" i="1"/>
  <c r="J40" i="1" s="1"/>
  <c r="D29" i="1"/>
  <c r="H9" i="1"/>
  <c r="C13" i="2"/>
  <c r="I41" i="1"/>
  <c r="J41" i="1" s="1"/>
  <c r="H29" i="1"/>
  <c r="L9" i="1" l="1"/>
  <c r="O9" i="1" s="1"/>
  <c r="I9" i="1"/>
  <c r="J9" i="1" s="1"/>
  <c r="I29" i="1"/>
  <c r="J29" i="1" s="1"/>
  <c r="L29" i="1"/>
  <c r="O29" i="1" s="1"/>
  <c r="S29" i="1" s="1"/>
  <c r="T29" i="1" s="1"/>
  <c r="U29" i="1" s="1"/>
  <c r="I42" i="1"/>
  <c r="J42" i="1" s="1"/>
  <c r="L42" i="1"/>
  <c r="O42" i="1" s="1"/>
  <c r="S42" i="1" s="1"/>
  <c r="D42" i="1" s="1"/>
  <c r="C42" i="1" s="1"/>
  <c r="B42" i="1" s="1"/>
  <c r="S10" i="1"/>
  <c r="T10" i="1" s="1"/>
  <c r="S9" i="1" l="1"/>
  <c r="T9" i="1" s="1"/>
</calcChain>
</file>

<file path=xl/sharedStrings.xml><?xml version="1.0" encoding="utf-8"?>
<sst xmlns="http://schemas.openxmlformats.org/spreadsheetml/2006/main" count="198" uniqueCount="92">
  <si>
    <t>Drag Area</t>
  </si>
  <si>
    <t>Car</t>
  </si>
  <si>
    <t>Speed</t>
  </si>
  <si>
    <t>Energy</t>
  </si>
  <si>
    <t>Prius V</t>
  </si>
  <si>
    <t>m^2</t>
  </si>
  <si>
    <t>MPH</t>
  </si>
  <si>
    <t>density of air</t>
  </si>
  <si>
    <t>KG/M^3</t>
  </si>
  <si>
    <t xml:space="preserve">distance </t>
  </si>
  <si>
    <t>miles</t>
  </si>
  <si>
    <t>meters</t>
  </si>
  <si>
    <t>distance</t>
  </si>
  <si>
    <t>N</t>
  </si>
  <si>
    <t>force</t>
  </si>
  <si>
    <t>energy</t>
  </si>
  <si>
    <t>m/s</t>
  </si>
  <si>
    <t>mJ</t>
  </si>
  <si>
    <t>Air Drag</t>
  </si>
  <si>
    <t>mass</t>
  </si>
  <si>
    <t>kg</t>
  </si>
  <si>
    <t>Kinetic Energy</t>
  </si>
  <si>
    <t>pounds</t>
  </si>
  <si>
    <t>stop number</t>
  </si>
  <si>
    <t>Golf TDI</t>
  </si>
  <si>
    <t>Fuel Economy</t>
  </si>
  <si>
    <t>MPG</t>
  </si>
  <si>
    <t>gallons</t>
  </si>
  <si>
    <t>fuel volume</t>
  </si>
  <si>
    <t>Fuel Energy</t>
  </si>
  <si>
    <t>Fuel</t>
  </si>
  <si>
    <t>BTU/gal</t>
  </si>
  <si>
    <t>mJ/gal</t>
  </si>
  <si>
    <t>gasoline</t>
  </si>
  <si>
    <t>diesel</t>
  </si>
  <si>
    <t>total energy</t>
  </si>
  <si>
    <t>efficiency</t>
  </si>
  <si>
    <t>%</t>
  </si>
  <si>
    <t>Hummer H2</t>
  </si>
  <si>
    <t>Volt</t>
  </si>
  <si>
    <t>Inputs</t>
  </si>
  <si>
    <t>DRAG =</t>
  </si>
  <si>
    <t>FORCE</t>
  </si>
  <si>
    <t>Acceleration</t>
  </si>
  <si>
    <t>sucks!</t>
  </si>
  <si>
    <t>dwking</t>
  </si>
  <si>
    <t>Drag Energy</t>
  </si>
  <si>
    <t xml:space="preserve"> = Drag Force*distance</t>
  </si>
  <si>
    <t xml:space="preserve"> = 0.5 mass*V^2</t>
  </si>
  <si>
    <t>but remarkably constant!</t>
  </si>
  <si>
    <t>Highway</t>
  </si>
  <si>
    <t>City</t>
  </si>
  <si>
    <t>Car Analysis</t>
  </si>
  <si>
    <t>Volkswagon</t>
  </si>
  <si>
    <t>Toyota</t>
  </si>
  <si>
    <t>Ford</t>
  </si>
  <si>
    <t>Jetta Sportwagon SE w/ sunroof</t>
  </si>
  <si>
    <t>Jetta TDI with sunroof</t>
  </si>
  <si>
    <t>Prius V five</t>
  </si>
  <si>
    <t>Ford C-Max</t>
  </si>
  <si>
    <t>Truecar</t>
  </si>
  <si>
    <t>CR Mileage</t>
  </si>
  <si>
    <t>payment</t>
  </si>
  <si>
    <t>Fuel per year (gal)</t>
  </si>
  <si>
    <t>zero to sixty</t>
  </si>
  <si>
    <t>Gallons in 10 years</t>
  </si>
  <si>
    <t>miles/year</t>
  </si>
  <si>
    <t>kg CO2/gal diesel</t>
  </si>
  <si>
    <t>kg CO2/gal gasoline</t>
  </si>
  <si>
    <t>CO2 kg</t>
  </si>
  <si>
    <t>fuel cost</t>
  </si>
  <si>
    <t xml:space="preserve">Total Fuel cost </t>
  </si>
  <si>
    <t>total cost</t>
  </si>
  <si>
    <t>Total cost car and fuel</t>
  </si>
  <si>
    <t>Drive 100 miles</t>
  </si>
  <si>
    <t>vehicle mass</t>
  </si>
  <si>
    <t>engine</t>
  </si>
  <si>
    <t>Rolling Resistance</t>
  </si>
  <si>
    <t>Rolling Resistanc</t>
  </si>
  <si>
    <t>Crr</t>
  </si>
  <si>
    <t>Force</t>
  </si>
  <si>
    <r>
      <t>F = C</t>
    </r>
    <r>
      <rPr>
        <vertAlign val="subscript"/>
        <sz val="12"/>
        <rFont val="Calibri"/>
        <family val="2"/>
        <scheme val="minor"/>
      </rPr>
      <t>rr</t>
    </r>
    <r>
      <rPr>
        <sz val="12"/>
        <rFont val="Calibri"/>
        <family val="2"/>
        <scheme val="minor"/>
      </rPr>
      <t>N</t>
    </r>
  </si>
  <si>
    <t>year</t>
  </si>
  <si>
    <t>mean</t>
  </si>
  <si>
    <t>Gasoline</t>
  </si>
  <si>
    <t>Diesel</t>
  </si>
  <si>
    <t>Lets Play</t>
  </si>
  <si>
    <t>flat tire</t>
  </si>
  <si>
    <t>factor</t>
  </si>
  <si>
    <t>Duty cycle</t>
  </si>
  <si>
    <t>electric</t>
  </si>
  <si>
    <t>Subaru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</si>
</sst>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"/>
    <numFmt numFmtId="167" formatCode="_(&quot;$&quot;* #,##0_);_(&quot;$&quot;* \(#,##0\);_(&quot;$&quot;* &quot;-&quot;??_);_(@_)"/>
    <numFmt numFmtId="168" formatCode="0.0"/>
    <numFmt numFmtId="169" formatCode="_-* #,##0_-;\-* #,##0_-;_-* &quot;-&quot;??_-;_-@_-"/>
    <numFmt numFmtId="170" formatCode="_-&quot;$&quot;* #,##0_-;\-&quot;$&quot;* #,##0_-;_-&quot;$&quot;* &quot;-&quot;??_-;_-@_-"/>
    <numFmt numFmtId="171" formatCode="&quot;$&quot;#,##0;[Red]&quot;$&quot;#,##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5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166" fontId="0" fillId="0" borderId="0" xfId="0" applyNumberFormat="1"/>
    <xf numFmtId="2" fontId="0" fillId="0" borderId="0" xfId="0" applyNumberFormat="1"/>
    <xf numFmtId="0" fontId="6" fillId="0" borderId="0" xfId="0" applyFont="1" applyBorder="1" applyAlignment="1">
      <alignment horizontal="center"/>
    </xf>
    <xf numFmtId="0" fontId="4" fillId="0" borderId="0" xfId="0" applyFont="1"/>
    <xf numFmtId="14" fontId="4" fillId="0" borderId="0" xfId="0" applyNumberFormat="1" applyFont="1"/>
    <xf numFmtId="2" fontId="4" fillId="0" borderId="0" xfId="0" applyNumberFormat="1" applyFont="1"/>
    <xf numFmtId="1" fontId="4" fillId="0" borderId="0" xfId="0" applyNumberFormat="1" applyFont="1" applyAlignment="1">
      <alignment horizontal="left"/>
    </xf>
    <xf numFmtId="9" fontId="4" fillId="0" borderId="0" xfId="1" applyFont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Border="1"/>
    <xf numFmtId="0" fontId="0" fillId="3" borderId="7" xfId="0" applyFill="1" applyBorder="1"/>
    <xf numFmtId="1" fontId="0" fillId="3" borderId="7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11" xfId="0" applyBorder="1"/>
    <xf numFmtId="167" fontId="2" fillId="0" borderId="12" xfId="5" applyNumberFormat="1" applyFont="1" applyBorder="1"/>
    <xf numFmtId="1" fontId="0" fillId="0" borderId="11" xfId="0" applyNumberFormat="1" applyBorder="1"/>
    <xf numFmtId="169" fontId="0" fillId="0" borderId="12" xfId="4" applyNumberFormat="1" applyFont="1" applyBorder="1"/>
    <xf numFmtId="0" fontId="0" fillId="0" borderId="0" xfId="0" applyBorder="1"/>
    <xf numFmtId="171" fontId="0" fillId="0" borderId="0" xfId="0" applyNumberFormat="1" applyBorder="1"/>
    <xf numFmtId="168" fontId="0" fillId="0" borderId="0" xfId="0" applyNumberFormat="1"/>
    <xf numFmtId="166" fontId="4" fillId="0" borderId="0" xfId="0" applyNumberFormat="1" applyFont="1" applyAlignment="1">
      <alignment horizontal="left"/>
    </xf>
    <xf numFmtId="0" fontId="9" fillId="4" borderId="3" xfId="0" applyFont="1" applyFill="1" applyBorder="1"/>
    <xf numFmtId="0" fontId="9" fillId="4" borderId="4" xfId="0" applyFont="1" applyFill="1" applyBorder="1"/>
    <xf numFmtId="0" fontId="9" fillId="4" borderId="5" xfId="0" applyFont="1" applyFill="1" applyBorder="1"/>
    <xf numFmtId="0" fontId="9" fillId="4" borderId="6" xfId="0" applyFont="1" applyFill="1" applyBorder="1"/>
    <xf numFmtId="0" fontId="9" fillId="4" borderId="0" xfId="0" applyFont="1" applyFill="1" applyBorder="1"/>
    <xf numFmtId="0" fontId="9" fillId="4" borderId="7" xfId="0" applyFont="1" applyFill="1" applyBorder="1"/>
    <xf numFmtId="0" fontId="9" fillId="4" borderId="8" xfId="0" applyFont="1" applyFill="1" applyBorder="1"/>
    <xf numFmtId="0" fontId="9" fillId="4" borderId="9" xfId="0" applyFont="1" applyFill="1" applyBorder="1"/>
    <xf numFmtId="0" fontId="9" fillId="4" borderId="10" xfId="0" applyFont="1" applyFill="1" applyBorder="1"/>
    <xf numFmtId="0" fontId="0" fillId="0" borderId="12" xfId="0" applyBorder="1"/>
    <xf numFmtId="6" fontId="0" fillId="0" borderId="12" xfId="0" applyNumberFormat="1" applyBorder="1"/>
    <xf numFmtId="164" fontId="0" fillId="0" borderId="11" xfId="5" applyFont="1" applyBorder="1"/>
    <xf numFmtId="0" fontId="0" fillId="0" borderId="14" xfId="0" applyBorder="1"/>
    <xf numFmtId="0" fontId="6" fillId="0" borderId="0" xfId="0" applyFont="1" applyBorder="1" applyAlignment="1">
      <alignment horizontal="center"/>
    </xf>
    <xf numFmtId="0" fontId="11" fillId="5" borderId="0" xfId="14"/>
    <xf numFmtId="166" fontId="11" fillId="5" borderId="0" xfId="14" applyNumberFormat="1" applyAlignment="1">
      <alignment horizontal="left"/>
    </xf>
    <xf numFmtId="9" fontId="4" fillId="0" borderId="0" xfId="1" applyFont="1" applyAlignment="1">
      <alignment horizontal="left"/>
    </xf>
    <xf numFmtId="168" fontId="12" fillId="6" borderId="0" xfId="15" applyNumberFormat="1"/>
    <xf numFmtId="9" fontId="0" fillId="0" borderId="0" xfId="1" applyFont="1"/>
    <xf numFmtId="0" fontId="11" fillId="5" borderId="13" xfId="14" applyBorder="1"/>
    <xf numFmtId="1" fontId="11" fillId="5" borderId="13" xfId="14" applyNumberFormat="1" applyBorder="1"/>
    <xf numFmtId="0" fontId="12" fillId="6" borderId="11" xfId="15" applyBorder="1"/>
    <xf numFmtId="1" fontId="12" fillId="6" borderId="11" xfId="15" applyNumberFormat="1" applyBorder="1"/>
    <xf numFmtId="170" fontId="1" fillId="7" borderId="11" xfId="22" applyNumberFormat="1" applyBorder="1"/>
    <xf numFmtId="171" fontId="11" fillId="5" borderId="14" xfId="14" applyNumberFormat="1" applyBorder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20% - Accent2" xfId="22" builtinId="34"/>
    <cellStyle name="Comma" xfId="4" builtinId="3"/>
    <cellStyle name="Currency" xfId="5" builtinId="4"/>
    <cellStyle name="Followed Hyperlink" xfId="3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4" builtinId="9" hidden="1"/>
    <cellStyle name="Good" xfId="14" builtinId="26"/>
    <cellStyle name="Hyperlink" xfId="2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6" builtinId="8" hidden="1"/>
    <cellStyle name="Hyperlink" xfId="18" builtinId="8" hidden="1"/>
    <cellStyle name="Hyperlink" xfId="20" builtinId="8" hidden="1"/>
    <cellStyle name="Hyperlink" xfId="23" builtinId="8" hidden="1"/>
    <cellStyle name="Neutral" xfId="15" builtinId="28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11</xdr:row>
      <xdr:rowOff>165100</xdr:rowOff>
    </xdr:from>
    <xdr:to>
      <xdr:col>7</xdr:col>
      <xdr:colOff>419100</xdr:colOff>
      <xdr:row>15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2070100"/>
          <a:ext cx="4876800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6:H33" headerRowCount="0" totalsRowShown="0">
  <tableColumns count="7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</tableColumns>
  <tableStyleInfo name="TableStyleLight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topLeftCell="A17" zoomScale="83" workbookViewId="0">
      <selection activeCell="E52" sqref="E52"/>
    </sheetView>
  </sheetViews>
  <sheetFormatPr baseColWidth="10" defaultRowHeight="16" x14ac:dyDescent="0.2"/>
  <cols>
    <col min="1" max="1" width="11.83203125" bestFit="1" customWidth="1"/>
    <col min="2" max="2" width="12.5" customWidth="1"/>
    <col min="3" max="10" width="11.83203125" customWidth="1"/>
    <col min="15" max="18" width="9.6640625" customWidth="1"/>
    <col min="19" max="19" width="9" customWidth="1"/>
  </cols>
  <sheetData>
    <row r="1" spans="1:22" ht="21" x14ac:dyDescent="0.25">
      <c r="A1" s="4" t="s">
        <v>45</v>
      </c>
      <c r="B1" s="5">
        <v>43191</v>
      </c>
      <c r="E1" s="69" t="s">
        <v>74</v>
      </c>
      <c r="F1" s="69"/>
      <c r="G1" s="69"/>
      <c r="H1" s="69"/>
      <c r="I1" s="69"/>
      <c r="J1" s="69"/>
    </row>
    <row r="2" spans="1:22" x14ac:dyDescent="0.2">
      <c r="F2" s="63" t="s">
        <v>50</v>
      </c>
      <c r="G2" s="63"/>
      <c r="H2" s="63"/>
      <c r="I2" s="63"/>
      <c r="J2" s="63"/>
    </row>
    <row r="3" spans="1:22" ht="19" x14ac:dyDescent="0.25">
      <c r="B3" s="64" t="s">
        <v>40</v>
      </c>
      <c r="C3" s="64"/>
      <c r="D3" s="64"/>
      <c r="E3" s="64"/>
      <c r="F3" s="64"/>
      <c r="G3" s="64"/>
      <c r="H3" s="64"/>
      <c r="I3" t="s">
        <v>23</v>
      </c>
      <c r="J3" s="4">
        <v>10</v>
      </c>
      <c r="K3" s="66" t="s">
        <v>18</v>
      </c>
      <c r="L3" s="66"/>
      <c r="M3" s="66"/>
      <c r="N3" s="66"/>
      <c r="O3" s="66"/>
      <c r="P3" s="3"/>
      <c r="Q3" s="3"/>
      <c r="R3" s="3"/>
    </row>
    <row r="4" spans="1:22" ht="20" thickBot="1" x14ac:dyDescent="0.3">
      <c r="B4" s="65"/>
      <c r="C4" s="65"/>
      <c r="D4" s="65"/>
      <c r="E4" s="65"/>
      <c r="F4" s="65"/>
      <c r="G4" s="65"/>
      <c r="H4" s="65"/>
      <c r="I4" s="68" t="s">
        <v>43</v>
      </c>
      <c r="J4" s="68"/>
      <c r="K4" s="67"/>
      <c r="L4" s="67"/>
      <c r="M4" s="67"/>
      <c r="N4" s="67"/>
      <c r="O4" s="67"/>
      <c r="P4" s="66" t="s">
        <v>78</v>
      </c>
      <c r="Q4" s="66"/>
      <c r="R4" s="3"/>
      <c r="T4" t="s">
        <v>76</v>
      </c>
    </row>
    <row r="5" spans="1:22" x14ac:dyDescent="0.2">
      <c r="B5" t="s">
        <v>26</v>
      </c>
      <c r="C5" t="s">
        <v>27</v>
      </c>
      <c r="D5" t="s">
        <v>29</v>
      </c>
      <c r="E5" t="s">
        <v>75</v>
      </c>
      <c r="F5" t="s">
        <v>75</v>
      </c>
      <c r="G5" t="s">
        <v>2</v>
      </c>
      <c r="H5" t="s">
        <v>2</v>
      </c>
      <c r="I5" t="s">
        <v>21</v>
      </c>
      <c r="J5" t="s">
        <v>3</v>
      </c>
      <c r="K5" t="s">
        <v>0</v>
      </c>
      <c r="L5" t="s">
        <v>14</v>
      </c>
      <c r="M5" t="s">
        <v>9</v>
      </c>
      <c r="N5" t="s">
        <v>12</v>
      </c>
      <c r="O5" t="s">
        <v>15</v>
      </c>
      <c r="P5" t="s">
        <v>79</v>
      </c>
      <c r="Q5" t="s">
        <v>80</v>
      </c>
      <c r="R5" t="s">
        <v>3</v>
      </c>
      <c r="S5" t="s">
        <v>35</v>
      </c>
      <c r="T5" s="4" t="s">
        <v>36</v>
      </c>
    </row>
    <row r="6" spans="1:22" x14ac:dyDescent="0.2">
      <c r="A6" t="s">
        <v>1</v>
      </c>
      <c r="B6" t="s">
        <v>25</v>
      </c>
      <c r="C6" t="s">
        <v>28</v>
      </c>
      <c r="D6" t="s">
        <v>17</v>
      </c>
      <c r="E6" t="s">
        <v>22</v>
      </c>
      <c r="F6" t="s">
        <v>20</v>
      </c>
      <c r="G6" t="s">
        <v>6</v>
      </c>
      <c r="H6" t="s">
        <v>16</v>
      </c>
      <c r="I6" t="s">
        <v>17</v>
      </c>
      <c r="J6" t="s">
        <v>17</v>
      </c>
      <c r="K6" t="s">
        <v>5</v>
      </c>
      <c r="L6" t="s">
        <v>13</v>
      </c>
      <c r="M6" t="s">
        <v>10</v>
      </c>
      <c r="N6" t="s">
        <v>11</v>
      </c>
      <c r="O6" t="s">
        <v>17</v>
      </c>
      <c r="Q6" t="s">
        <v>13</v>
      </c>
      <c r="R6" t="s">
        <v>17</v>
      </c>
      <c r="S6" t="s">
        <v>17</v>
      </c>
      <c r="T6" s="4" t="s">
        <v>37</v>
      </c>
    </row>
    <row r="7" spans="1:22" x14ac:dyDescent="0.2">
      <c r="A7" t="s">
        <v>4</v>
      </c>
      <c r="B7">
        <v>45</v>
      </c>
      <c r="C7" s="36">
        <f>M7/B7</f>
        <v>2.2222222222222223</v>
      </c>
      <c r="D7" s="1">
        <f>C7*K17</f>
        <v>291.66666666666669</v>
      </c>
      <c r="E7">
        <v>3500</v>
      </c>
      <c r="F7">
        <f>0.455*E7</f>
        <v>1592.5</v>
      </c>
      <c r="G7">
        <v>70</v>
      </c>
      <c r="H7">
        <f>G7*0.447</f>
        <v>31.29</v>
      </c>
      <c r="I7" s="2">
        <f>0.5*F7*H7^2/1000000</f>
        <v>0.77957978962499996</v>
      </c>
      <c r="J7" s="6">
        <f>I7*$J$3*0.4</f>
        <v>3.1183191585000003</v>
      </c>
      <c r="K7">
        <v>0.57599999999999996</v>
      </c>
      <c r="L7">
        <f>0.5*$J$13*K7*H7^2</f>
        <v>298.88868844799998</v>
      </c>
      <c r="M7">
        <v>100</v>
      </c>
      <c r="N7">
        <f>1600*M7</f>
        <v>160000</v>
      </c>
      <c r="O7" s="7">
        <f>N7*L7/1000000</f>
        <v>47.822190151679997</v>
      </c>
      <c r="P7" s="37">
        <v>8.0000000000000002E-3</v>
      </c>
      <c r="Q7" s="7">
        <f>P7*F7</f>
        <v>12.74</v>
      </c>
      <c r="R7" s="7">
        <f>Q7*N7/1000000</f>
        <v>2.0384000000000002</v>
      </c>
      <c r="S7" s="36">
        <f>O7+J7+R7</f>
        <v>52.978909310180001</v>
      </c>
      <c r="T7" s="8">
        <f>S7/D7</f>
        <v>0.18164197477775998</v>
      </c>
      <c r="U7" s="2"/>
      <c r="V7" s="2"/>
    </row>
    <row r="8" spans="1:22" x14ac:dyDescent="0.2">
      <c r="A8" t="s">
        <v>24</v>
      </c>
      <c r="B8">
        <v>45</v>
      </c>
      <c r="C8" s="36">
        <f>M8/B8</f>
        <v>2.2222222222222223</v>
      </c>
      <c r="D8" s="1">
        <f>C8*K18</f>
        <v>323.63333333333333</v>
      </c>
      <c r="E8">
        <v>3500</v>
      </c>
      <c r="F8">
        <f>0.455*E8</f>
        <v>1592.5</v>
      </c>
      <c r="G8">
        <f>G7</f>
        <v>70</v>
      </c>
      <c r="H8">
        <f>G8*0.447</f>
        <v>31.29</v>
      </c>
      <c r="I8" s="2">
        <f>0.5*F8*H8^2/1000000</f>
        <v>0.77957978962499996</v>
      </c>
      <c r="J8" s="6">
        <f>I8*$J$3</f>
        <v>7.7957978962499999</v>
      </c>
      <c r="K8">
        <v>0.626</v>
      </c>
      <c r="L8">
        <f>0.5*$J$13*K8*H8^2</f>
        <v>324.83388709799999</v>
      </c>
      <c r="M8">
        <v>100</v>
      </c>
      <c r="N8">
        <f>1600*M8</f>
        <v>160000</v>
      </c>
      <c r="O8" s="7">
        <f>N8*L8/1000000</f>
        <v>51.973421935680001</v>
      </c>
      <c r="P8" s="37">
        <v>8.0000000000000002E-3</v>
      </c>
      <c r="Q8" s="7">
        <f t="shared" ref="Q8:Q10" si="0">P8*F8</f>
        <v>12.74</v>
      </c>
      <c r="R8" s="7">
        <f t="shared" ref="R8:R10" si="1">Q8*N8/1000000</f>
        <v>2.0384000000000002</v>
      </c>
      <c r="S8" s="36">
        <f t="shared" ref="S8:S10" si="2">O8+J8+R8</f>
        <v>61.807619831930005</v>
      </c>
      <c r="T8" s="8">
        <f>S8/D8</f>
        <v>0.19098038881016585</v>
      </c>
      <c r="U8" s="2"/>
      <c r="V8" s="2"/>
    </row>
    <row r="9" spans="1:22" x14ac:dyDescent="0.2">
      <c r="A9" t="s">
        <v>39</v>
      </c>
      <c r="B9">
        <v>42</v>
      </c>
      <c r="C9" s="36">
        <f>M9/B9</f>
        <v>2.3809523809523809</v>
      </c>
      <c r="D9" s="1">
        <f>C9*K17</f>
        <v>312.5</v>
      </c>
      <c r="E9">
        <v>3850</v>
      </c>
      <c r="F9">
        <f t="shared" ref="F9:F10" si="3">0.455*E9</f>
        <v>1751.75</v>
      </c>
      <c r="G9">
        <f t="shared" ref="G9:G10" si="4">G8</f>
        <v>70</v>
      </c>
      <c r="H9">
        <f t="shared" ref="H9:H10" si="5">G9*0.447</f>
        <v>31.29</v>
      </c>
      <c r="I9" s="2">
        <f t="shared" ref="I9" si="6">0.5*F9*H9^2/1000000</f>
        <v>0.85753776858749997</v>
      </c>
      <c r="J9" s="6">
        <f>I9*$J$3*0.4</f>
        <v>3.4301510743499999</v>
      </c>
      <c r="K9">
        <v>0.622</v>
      </c>
      <c r="L9">
        <f>0.5*$J$13*K9*H9^2</f>
        <v>322.75827120599996</v>
      </c>
      <c r="M9">
        <v>100</v>
      </c>
      <c r="N9">
        <f t="shared" ref="N9:N10" si="7">1600*M9</f>
        <v>160000</v>
      </c>
      <c r="O9" s="7">
        <f t="shared" ref="O9:O10" si="8">N9*L9/1000000</f>
        <v>51.641323392959997</v>
      </c>
      <c r="P9" s="37">
        <v>8.0000000000000002E-3</v>
      </c>
      <c r="Q9" s="7">
        <f t="shared" si="0"/>
        <v>14.014000000000001</v>
      </c>
      <c r="R9" s="7">
        <f t="shared" si="1"/>
        <v>2.2422399999999998</v>
      </c>
      <c r="S9" s="36">
        <f t="shared" si="2"/>
        <v>57.31371446731</v>
      </c>
      <c r="T9" s="8">
        <f t="shared" ref="T9:T10" si="9">S9/D9</f>
        <v>0.183403886295392</v>
      </c>
      <c r="U9" s="2"/>
      <c r="V9" s="2"/>
    </row>
    <row r="10" spans="1:22" x14ac:dyDescent="0.2">
      <c r="A10" t="s">
        <v>38</v>
      </c>
      <c r="B10">
        <v>11</v>
      </c>
      <c r="C10" s="36">
        <f>M10/B10</f>
        <v>9.0909090909090917</v>
      </c>
      <c r="D10" s="1">
        <f>C10*K17</f>
        <v>1193.1818181818182</v>
      </c>
      <c r="E10">
        <v>6500</v>
      </c>
      <c r="F10">
        <f t="shared" si="3"/>
        <v>2957.5</v>
      </c>
      <c r="G10">
        <f t="shared" si="4"/>
        <v>70</v>
      </c>
      <c r="H10">
        <f t="shared" si="5"/>
        <v>31.29</v>
      </c>
      <c r="I10" s="2">
        <f>0.5*F10*H10^2/1000000</f>
        <v>1.4477910378749999</v>
      </c>
      <c r="J10" s="6">
        <f>I10*$J$3</f>
        <v>14.477910378749998</v>
      </c>
      <c r="K10">
        <v>2.46</v>
      </c>
      <c r="L10">
        <f>0.5*$J$13*K10*H10^2</f>
        <v>1276.5037735799999</v>
      </c>
      <c r="M10">
        <v>100</v>
      </c>
      <c r="N10">
        <f t="shared" si="7"/>
        <v>160000</v>
      </c>
      <c r="O10" s="7">
        <f t="shared" si="8"/>
        <v>204.2406037728</v>
      </c>
      <c r="P10" s="37">
        <v>8.0000000000000002E-3</v>
      </c>
      <c r="Q10" s="7">
        <f t="shared" si="0"/>
        <v>23.66</v>
      </c>
      <c r="R10" s="7">
        <f t="shared" si="1"/>
        <v>3.7856000000000001</v>
      </c>
      <c r="S10" s="36">
        <f t="shared" si="2"/>
        <v>222.50411415155</v>
      </c>
      <c r="T10" s="8">
        <f t="shared" si="9"/>
        <v>0.18647963852701332</v>
      </c>
    </row>
    <row r="11" spans="1:22" x14ac:dyDescent="0.2">
      <c r="T11" t="s">
        <v>44</v>
      </c>
    </row>
    <row r="12" spans="1:22" x14ac:dyDescent="0.2">
      <c r="B12" s="9"/>
      <c r="C12" s="10"/>
      <c r="D12" s="10"/>
      <c r="E12" s="10"/>
      <c r="F12" s="10"/>
      <c r="G12" s="10"/>
      <c r="H12" s="11"/>
      <c r="I12" s="18"/>
      <c r="J12" s="19"/>
      <c r="K12" s="20"/>
      <c r="M12" s="38"/>
      <c r="N12" s="39"/>
      <c r="O12" s="40"/>
      <c r="T12" t="s">
        <v>49</v>
      </c>
    </row>
    <row r="13" spans="1:22" x14ac:dyDescent="0.2">
      <c r="B13" s="12"/>
      <c r="C13" s="13"/>
      <c r="D13" s="13"/>
      <c r="E13" s="13"/>
      <c r="F13" s="13"/>
      <c r="G13" s="13"/>
      <c r="H13" s="14"/>
      <c r="I13" s="21" t="s">
        <v>7</v>
      </c>
      <c r="J13" s="22">
        <v>1.06</v>
      </c>
      <c r="K13" s="23" t="s">
        <v>8</v>
      </c>
      <c r="M13" s="41"/>
      <c r="N13" s="42"/>
      <c r="O13" s="43"/>
    </row>
    <row r="14" spans="1:22" ht="18" x14ac:dyDescent="0.25">
      <c r="B14" s="12" t="s">
        <v>41</v>
      </c>
      <c r="C14" s="13"/>
      <c r="D14" s="13"/>
      <c r="E14" s="13"/>
      <c r="F14" s="13"/>
      <c r="G14" s="13"/>
      <c r="H14" s="14"/>
      <c r="I14" s="21"/>
      <c r="J14" s="22"/>
      <c r="K14" s="23"/>
      <c r="M14" s="41" t="s">
        <v>77</v>
      </c>
      <c r="N14" s="42"/>
      <c r="O14" s="43" t="s">
        <v>81</v>
      </c>
    </row>
    <row r="15" spans="1:22" x14ac:dyDescent="0.2">
      <c r="B15" s="12" t="s">
        <v>42</v>
      </c>
      <c r="C15" s="13"/>
      <c r="D15" s="13"/>
      <c r="E15" s="13"/>
      <c r="F15" s="13"/>
      <c r="G15" s="13"/>
      <c r="H15" s="14"/>
      <c r="I15" s="21"/>
      <c r="J15" s="22"/>
      <c r="K15" s="23"/>
      <c r="M15" s="41"/>
      <c r="N15" s="42"/>
      <c r="O15" s="43"/>
    </row>
    <row r="16" spans="1:22" x14ac:dyDescent="0.2">
      <c r="B16" s="12"/>
      <c r="C16" s="13"/>
      <c r="D16" s="13"/>
      <c r="E16" s="13"/>
      <c r="F16" s="13"/>
      <c r="G16" s="13"/>
      <c r="H16" s="14"/>
      <c r="I16" s="21" t="s">
        <v>30</v>
      </c>
      <c r="J16" s="22" t="s">
        <v>31</v>
      </c>
      <c r="K16" s="23" t="s">
        <v>32</v>
      </c>
      <c r="M16" s="41"/>
      <c r="N16" s="42"/>
      <c r="O16" s="43"/>
    </row>
    <row r="17" spans="1:21" x14ac:dyDescent="0.2">
      <c r="B17" s="12" t="s">
        <v>46</v>
      </c>
      <c r="C17" s="13" t="s">
        <v>47</v>
      </c>
      <c r="D17" s="13"/>
      <c r="E17" s="13"/>
      <c r="F17" s="13"/>
      <c r="G17" s="13"/>
      <c r="H17" s="14"/>
      <c r="I17" s="21" t="s">
        <v>33</v>
      </c>
      <c r="J17" s="22">
        <v>125000</v>
      </c>
      <c r="K17" s="24">
        <f>J17*1.05/1000</f>
        <v>131.25</v>
      </c>
      <c r="M17" s="41"/>
      <c r="N17" s="42"/>
      <c r="O17" s="43"/>
    </row>
    <row r="18" spans="1:21" x14ac:dyDescent="0.2">
      <c r="B18" s="12"/>
      <c r="C18" s="13"/>
      <c r="D18" s="13"/>
      <c r="E18" s="13"/>
      <c r="F18" s="13"/>
      <c r="G18" s="13"/>
      <c r="H18" s="14"/>
      <c r="I18" s="21" t="s">
        <v>34</v>
      </c>
      <c r="J18" s="22">
        <v>138700</v>
      </c>
      <c r="K18" s="24">
        <f>J18*1.05/1000</f>
        <v>145.63499999999999</v>
      </c>
      <c r="M18" s="41"/>
      <c r="N18" s="42"/>
      <c r="O18" s="43"/>
    </row>
    <row r="19" spans="1:21" x14ac:dyDescent="0.2">
      <c r="B19" s="12" t="s">
        <v>21</v>
      </c>
      <c r="C19" s="13" t="s">
        <v>48</v>
      </c>
      <c r="D19" s="13"/>
      <c r="E19" s="13"/>
      <c r="F19" s="13"/>
      <c r="G19" s="13"/>
      <c r="H19" s="14"/>
      <c r="I19" s="21"/>
      <c r="J19" s="22"/>
      <c r="K19" s="23"/>
      <c r="M19" s="44"/>
      <c r="N19" s="45"/>
      <c r="O19" s="46"/>
    </row>
    <row r="20" spans="1:21" x14ac:dyDescent="0.2">
      <c r="B20" s="15"/>
      <c r="C20" s="16"/>
      <c r="D20" s="16"/>
      <c r="E20" s="16"/>
      <c r="F20" s="16"/>
      <c r="G20" s="16"/>
      <c r="H20" s="17"/>
      <c r="I20" s="25"/>
      <c r="J20" s="26"/>
      <c r="K20" s="27"/>
    </row>
    <row r="22" spans="1:21" x14ac:dyDescent="0.2">
      <c r="G22" s="63" t="s">
        <v>51</v>
      </c>
      <c r="H22" s="63"/>
      <c r="I22" s="63"/>
      <c r="J22" s="63"/>
    </row>
    <row r="23" spans="1:21" x14ac:dyDescent="0.2">
      <c r="B23" s="64" t="s">
        <v>40</v>
      </c>
      <c r="C23" s="64"/>
      <c r="D23" s="64"/>
      <c r="E23" s="64"/>
      <c r="F23" s="64"/>
      <c r="G23" s="64"/>
      <c r="H23" s="64"/>
      <c r="I23" t="s">
        <v>23</v>
      </c>
      <c r="J23" s="4">
        <v>300</v>
      </c>
      <c r="K23" s="66" t="s">
        <v>18</v>
      </c>
      <c r="L23" s="66"/>
      <c r="M23" s="66"/>
      <c r="N23" s="66"/>
      <c r="O23" s="66"/>
    </row>
    <row r="24" spans="1:21" ht="20" thickBot="1" x14ac:dyDescent="0.3">
      <c r="B24" s="65"/>
      <c r="C24" s="65"/>
      <c r="D24" s="65"/>
      <c r="E24" s="65"/>
      <c r="F24" s="65"/>
      <c r="G24" s="65"/>
      <c r="H24" s="65"/>
      <c r="I24" s="68" t="s">
        <v>43</v>
      </c>
      <c r="J24" s="68"/>
      <c r="K24" s="67"/>
      <c r="L24" s="67"/>
      <c r="M24" s="67"/>
      <c r="N24" s="67"/>
      <c r="O24" s="67"/>
      <c r="P24" s="66" t="s">
        <v>78</v>
      </c>
      <c r="Q24" s="66"/>
      <c r="R24" s="3"/>
      <c r="T24" t="s">
        <v>76</v>
      </c>
      <c r="U24" t="s">
        <v>90</v>
      </c>
    </row>
    <row r="25" spans="1:21" x14ac:dyDescent="0.2">
      <c r="B25" t="s">
        <v>26</v>
      </c>
      <c r="C25" t="s">
        <v>27</v>
      </c>
      <c r="D25" t="s">
        <v>29</v>
      </c>
      <c r="E25" t="s">
        <v>19</v>
      </c>
      <c r="F25" t="s">
        <v>19</v>
      </c>
      <c r="G25" t="s">
        <v>2</v>
      </c>
      <c r="H25" t="s">
        <v>2</v>
      </c>
      <c r="I25" t="s">
        <v>21</v>
      </c>
      <c r="J25" t="s">
        <v>3</v>
      </c>
      <c r="K25" t="s">
        <v>0</v>
      </c>
      <c r="L25" t="s">
        <v>14</v>
      </c>
      <c r="M25" t="s">
        <v>9</v>
      </c>
      <c r="N25" t="s">
        <v>12</v>
      </c>
      <c r="O25" t="s">
        <v>15</v>
      </c>
      <c r="P25" t="s">
        <v>79</v>
      </c>
      <c r="Q25" t="s">
        <v>80</v>
      </c>
      <c r="R25" t="s">
        <v>3</v>
      </c>
      <c r="S25" t="s">
        <v>35</v>
      </c>
      <c r="T25" s="4" t="s">
        <v>36</v>
      </c>
      <c r="U25" t="s">
        <v>89</v>
      </c>
    </row>
    <row r="26" spans="1:21" x14ac:dyDescent="0.2">
      <c r="A26" t="s">
        <v>1</v>
      </c>
      <c r="B26" t="s">
        <v>25</v>
      </c>
      <c r="C26" t="s">
        <v>28</v>
      </c>
      <c r="D26" t="s">
        <v>17</v>
      </c>
      <c r="E26" t="s">
        <v>22</v>
      </c>
      <c r="F26" t="s">
        <v>20</v>
      </c>
      <c r="G26" t="s">
        <v>6</v>
      </c>
      <c r="H26" t="s">
        <v>16</v>
      </c>
      <c r="I26" t="s">
        <v>17</v>
      </c>
      <c r="J26" t="s">
        <v>17</v>
      </c>
      <c r="K26" t="s">
        <v>5</v>
      </c>
      <c r="L26" t="s">
        <v>13</v>
      </c>
      <c r="M26" t="s">
        <v>10</v>
      </c>
      <c r="N26" t="s">
        <v>11</v>
      </c>
      <c r="O26" t="s">
        <v>17</v>
      </c>
      <c r="Q26" t="s">
        <v>13</v>
      </c>
      <c r="R26" t="s">
        <v>17</v>
      </c>
      <c r="S26" t="s">
        <v>17</v>
      </c>
      <c r="T26" s="4" t="s">
        <v>37</v>
      </c>
    </row>
    <row r="27" spans="1:21" x14ac:dyDescent="0.2">
      <c r="A27" t="s">
        <v>4</v>
      </c>
      <c r="B27">
        <v>46</v>
      </c>
      <c r="C27">
        <f>M27/B27</f>
        <v>2.1739130434782608</v>
      </c>
      <c r="D27" s="1">
        <f>C27*K17</f>
        <v>285.32608695652175</v>
      </c>
      <c r="E27">
        <v>3500</v>
      </c>
      <c r="F27">
        <f>0.455*E27</f>
        <v>1592.5</v>
      </c>
      <c r="G27">
        <v>35</v>
      </c>
      <c r="H27">
        <f>G27*0.447</f>
        <v>15.645</v>
      </c>
      <c r="I27" s="2">
        <f>0.5*F27*H27^2/1000000</f>
        <v>0.19489494740624999</v>
      </c>
      <c r="J27" s="6">
        <f>I27*$J$23*0.4</f>
        <v>23.387393688749999</v>
      </c>
      <c r="K27">
        <v>0.57599999999999996</v>
      </c>
      <c r="L27">
        <f>0.5*$J$13*K27*H27^2</f>
        <v>74.722172111999996</v>
      </c>
      <c r="M27">
        <v>100</v>
      </c>
      <c r="N27">
        <f>1600*M27</f>
        <v>160000</v>
      </c>
      <c r="O27" s="7">
        <f>N27*L27/1000000</f>
        <v>11.955547537919999</v>
      </c>
      <c r="P27" s="37">
        <v>8.0000000000000002E-3</v>
      </c>
      <c r="Q27" s="7">
        <f>P27*F27</f>
        <v>12.74</v>
      </c>
      <c r="R27" s="7">
        <f>Q27*N27/1000000</f>
        <v>2.0384000000000002</v>
      </c>
      <c r="S27" s="2">
        <f>O27+J27+R27</f>
        <v>37.381341226670003</v>
      </c>
      <c r="T27" s="8">
        <f>S27/D27</f>
        <v>0.13101270068013868</v>
      </c>
      <c r="U27" s="56">
        <f>(0.19-T27)/0.19</f>
        <v>0.31045947010453329</v>
      </c>
    </row>
    <row r="28" spans="1:21" x14ac:dyDescent="0.2">
      <c r="A28" t="s">
        <v>24</v>
      </c>
      <c r="B28">
        <v>35</v>
      </c>
      <c r="C28">
        <f>M28/B28</f>
        <v>2.8571428571428572</v>
      </c>
      <c r="D28" s="1">
        <f>C28*K18</f>
        <v>416.09999999999997</v>
      </c>
      <c r="E28">
        <v>3500</v>
      </c>
      <c r="F28">
        <f>0.455*E28</f>
        <v>1592.5</v>
      </c>
      <c r="G28">
        <f>G27</f>
        <v>35</v>
      </c>
      <c r="H28">
        <f>G28*0.447</f>
        <v>15.645</v>
      </c>
      <c r="I28" s="2">
        <f>0.5*F28*H28^2/1000000</f>
        <v>0.19489494740624999</v>
      </c>
      <c r="J28" s="6">
        <f>I28*$J$23</f>
        <v>58.468484221874995</v>
      </c>
      <c r="K28">
        <v>0.626</v>
      </c>
      <c r="L28">
        <f>0.5*$J$13*K28*H28^2</f>
        <v>81.208471774499998</v>
      </c>
      <c r="M28">
        <v>100</v>
      </c>
      <c r="N28">
        <f>1600*M28</f>
        <v>160000</v>
      </c>
      <c r="O28" s="7">
        <f>N28*L28/1000000</f>
        <v>12.99335548392</v>
      </c>
      <c r="P28" s="37">
        <v>8.0000000000000002E-3</v>
      </c>
      <c r="Q28" s="7">
        <f t="shared" ref="Q28:Q30" si="10">P28*F28</f>
        <v>12.74</v>
      </c>
      <c r="R28" s="7">
        <f t="shared" ref="R28:R30" si="11">Q28*N28/1000000</f>
        <v>2.0384000000000002</v>
      </c>
      <c r="S28" s="2">
        <f t="shared" ref="S28:S30" si="12">O28+J28+R28</f>
        <v>73.500239705794996</v>
      </c>
      <c r="T28" s="8">
        <f>S28/D28</f>
        <v>0.17664080679114397</v>
      </c>
    </row>
    <row r="29" spans="1:21" x14ac:dyDescent="0.2">
      <c r="A29" t="s">
        <v>39</v>
      </c>
      <c r="B29">
        <v>38</v>
      </c>
      <c r="C29">
        <f>M29/B29</f>
        <v>2.6315789473684212</v>
      </c>
      <c r="D29" s="1">
        <f>C29*K17</f>
        <v>345.39473684210526</v>
      </c>
      <c r="E29">
        <v>3850</v>
      </c>
      <c r="F29">
        <f t="shared" ref="F29:F30" si="13">0.455*E29</f>
        <v>1751.75</v>
      </c>
      <c r="G29">
        <f t="shared" ref="G29:G30" si="14">G28</f>
        <v>35</v>
      </c>
      <c r="H29">
        <f t="shared" ref="H29:H30" si="15">G29*0.447</f>
        <v>15.645</v>
      </c>
      <c r="I29" s="2">
        <f t="shared" ref="I29" si="16">0.5*F29*H29^2/1000000</f>
        <v>0.21438444214687499</v>
      </c>
      <c r="J29" s="6">
        <f>I29*$J$23*0.4</f>
        <v>25.726133057624999</v>
      </c>
      <c r="K29">
        <v>0.622</v>
      </c>
      <c r="L29">
        <f>0.5*$J$13*K29*H29^2</f>
        <v>80.68956780149999</v>
      </c>
      <c r="M29">
        <v>100</v>
      </c>
      <c r="N29">
        <f t="shared" ref="N29:N30" si="17">1600*M29</f>
        <v>160000</v>
      </c>
      <c r="O29" s="7">
        <f t="shared" ref="O29:O30" si="18">N29*L29/1000000</f>
        <v>12.910330848239999</v>
      </c>
      <c r="P29" s="37">
        <v>8.0000000000000002E-3</v>
      </c>
      <c r="Q29" s="7">
        <f t="shared" si="10"/>
        <v>14.014000000000001</v>
      </c>
      <c r="R29" s="7">
        <f t="shared" si="11"/>
        <v>2.2422399999999998</v>
      </c>
      <c r="S29" s="2">
        <f t="shared" si="12"/>
        <v>40.878703905865002</v>
      </c>
      <c r="T29" s="8">
        <f t="shared" ref="T29:T30" si="19">S29/D29</f>
        <v>0.11835358083221867</v>
      </c>
      <c r="U29" s="56">
        <f>(0.19-T29)/0.19</f>
        <v>0.37708641667253334</v>
      </c>
    </row>
    <row r="30" spans="1:21" x14ac:dyDescent="0.2">
      <c r="A30" t="s">
        <v>38</v>
      </c>
      <c r="B30">
        <v>10</v>
      </c>
      <c r="C30">
        <f>M30/B30</f>
        <v>10</v>
      </c>
      <c r="D30" s="1">
        <f>C30*K17</f>
        <v>1312.5</v>
      </c>
      <c r="E30">
        <v>6500</v>
      </c>
      <c r="F30">
        <f t="shared" si="13"/>
        <v>2957.5</v>
      </c>
      <c r="G30">
        <f t="shared" si="14"/>
        <v>35</v>
      </c>
      <c r="H30">
        <f t="shared" si="15"/>
        <v>15.645</v>
      </c>
      <c r="I30" s="2">
        <f>0.5*F30*H30^2/1000000</f>
        <v>0.36194775946874996</v>
      </c>
      <c r="J30" s="6">
        <f>I30*$J$23</f>
        <v>108.58432784062499</v>
      </c>
      <c r="K30">
        <v>2.46</v>
      </c>
      <c r="L30">
        <f>0.5*$J$13*K30*H30^2</f>
        <v>319.12594339499998</v>
      </c>
      <c r="M30">
        <v>100</v>
      </c>
      <c r="N30">
        <f t="shared" si="17"/>
        <v>160000</v>
      </c>
      <c r="O30" s="7">
        <f t="shared" si="18"/>
        <v>51.0601509432</v>
      </c>
      <c r="P30" s="37">
        <v>8.0000000000000002E-3</v>
      </c>
      <c r="Q30" s="7">
        <f t="shared" si="10"/>
        <v>23.66</v>
      </c>
      <c r="R30" s="7">
        <f t="shared" si="11"/>
        <v>3.7856000000000001</v>
      </c>
      <c r="S30" s="2">
        <f t="shared" si="12"/>
        <v>163.43007878382497</v>
      </c>
      <c r="T30" s="8">
        <f t="shared" si="19"/>
        <v>0.12451815526386664</v>
      </c>
    </row>
    <row r="33" spans="1:20" x14ac:dyDescent="0.2">
      <c r="O33" t="s">
        <v>87</v>
      </c>
      <c r="P33" s="54">
        <v>1</v>
      </c>
    </row>
    <row r="34" spans="1:20" x14ac:dyDescent="0.2">
      <c r="F34" s="63" t="s">
        <v>86</v>
      </c>
      <c r="G34" s="63"/>
      <c r="H34" s="63"/>
      <c r="I34" s="63"/>
      <c r="J34" s="63"/>
      <c r="O34" t="s">
        <v>88</v>
      </c>
    </row>
    <row r="35" spans="1:20" ht="19" x14ac:dyDescent="0.25">
      <c r="B35" s="64" t="s">
        <v>40</v>
      </c>
      <c r="C35" s="64"/>
      <c r="D35" s="64"/>
      <c r="E35" s="64"/>
      <c r="F35" s="64"/>
      <c r="G35" s="64"/>
      <c r="H35" s="64"/>
      <c r="I35" t="s">
        <v>23</v>
      </c>
      <c r="J35" s="52">
        <v>10</v>
      </c>
      <c r="K35" s="66" t="s">
        <v>18</v>
      </c>
      <c r="L35" s="66"/>
      <c r="M35" s="66"/>
      <c r="N35" s="66"/>
      <c r="O35" s="66"/>
      <c r="P35" s="51"/>
      <c r="Q35" s="51"/>
      <c r="R35" s="51"/>
    </row>
    <row r="36" spans="1:20" ht="20" thickBot="1" x14ac:dyDescent="0.3">
      <c r="B36" s="65"/>
      <c r="C36" s="65"/>
      <c r="D36" s="65"/>
      <c r="E36" s="65"/>
      <c r="F36" s="65"/>
      <c r="G36" s="65"/>
      <c r="H36" s="65"/>
      <c r="I36" s="68" t="s">
        <v>43</v>
      </c>
      <c r="J36" s="68"/>
      <c r="K36" s="67"/>
      <c r="L36" s="67"/>
      <c r="M36" s="67"/>
      <c r="N36" s="67"/>
      <c r="O36" s="67"/>
      <c r="P36" s="66" t="s">
        <v>78</v>
      </c>
      <c r="Q36" s="66"/>
      <c r="R36" s="51"/>
      <c r="T36" t="s">
        <v>76</v>
      </c>
    </row>
    <row r="37" spans="1:20" x14ac:dyDescent="0.2">
      <c r="B37" t="s">
        <v>26</v>
      </c>
      <c r="C37" t="s">
        <v>27</v>
      </c>
      <c r="D37" t="s">
        <v>29</v>
      </c>
      <c r="E37" t="s">
        <v>75</v>
      </c>
      <c r="F37" t="s">
        <v>75</v>
      </c>
      <c r="G37" t="s">
        <v>2</v>
      </c>
      <c r="H37" t="s">
        <v>2</v>
      </c>
      <c r="I37" t="s">
        <v>21</v>
      </c>
      <c r="J37" t="s">
        <v>3</v>
      </c>
      <c r="K37" t="s">
        <v>0</v>
      </c>
      <c r="L37" t="s">
        <v>14</v>
      </c>
      <c r="M37" t="s">
        <v>9</v>
      </c>
      <c r="N37" t="s">
        <v>12</v>
      </c>
      <c r="O37" t="s">
        <v>15</v>
      </c>
      <c r="P37" t="s">
        <v>79</v>
      </c>
      <c r="Q37" t="s">
        <v>80</v>
      </c>
      <c r="R37" t="s">
        <v>3</v>
      </c>
      <c r="S37" t="s">
        <v>35</v>
      </c>
      <c r="T37" s="4" t="s">
        <v>36</v>
      </c>
    </row>
    <row r="38" spans="1:20" x14ac:dyDescent="0.2">
      <c r="A38" t="s">
        <v>1</v>
      </c>
      <c r="B38" t="s">
        <v>25</v>
      </c>
      <c r="C38" t="s">
        <v>28</v>
      </c>
      <c r="D38" t="s">
        <v>17</v>
      </c>
      <c r="E38" t="s">
        <v>22</v>
      </c>
      <c r="F38" t="s">
        <v>20</v>
      </c>
      <c r="G38" t="s">
        <v>6</v>
      </c>
      <c r="H38" t="s">
        <v>16</v>
      </c>
      <c r="I38" t="s">
        <v>17</v>
      </c>
      <c r="J38" t="s">
        <v>17</v>
      </c>
      <c r="K38" t="s">
        <v>5</v>
      </c>
      <c r="L38" t="s">
        <v>13</v>
      </c>
      <c r="M38" t="s">
        <v>10</v>
      </c>
      <c r="N38" t="s">
        <v>11</v>
      </c>
      <c r="O38" t="s">
        <v>17</v>
      </c>
      <c r="Q38" t="s">
        <v>13</v>
      </c>
      <c r="R38" t="s">
        <v>17</v>
      </c>
      <c r="S38" t="s">
        <v>17</v>
      </c>
      <c r="T38" s="4" t="s">
        <v>37</v>
      </c>
    </row>
    <row r="39" spans="1:20" x14ac:dyDescent="0.2">
      <c r="A39" t="s">
        <v>4</v>
      </c>
      <c r="B39" s="55">
        <f>100/C39</f>
        <v>70.55109818192139</v>
      </c>
      <c r="C39" s="36">
        <f>D39/$K$17</f>
        <v>1.4174123802033862</v>
      </c>
      <c r="D39" s="1">
        <f>S39/T39</f>
        <v>186.03537490169444</v>
      </c>
      <c r="E39">
        <v>3500</v>
      </c>
      <c r="F39">
        <f>0.455*E39</f>
        <v>1592.5</v>
      </c>
      <c r="G39" s="52">
        <v>55</v>
      </c>
      <c r="H39">
        <f>G39*0.447</f>
        <v>24.585000000000001</v>
      </c>
      <c r="I39" s="2">
        <f>0.5*F39*H39^2/1000000</f>
        <v>0.48127119665625007</v>
      </c>
      <c r="J39" s="6">
        <f>I39*$J$35*0.4</f>
        <v>1.9250847866250003</v>
      </c>
      <c r="K39" s="52">
        <v>0.57599999999999996</v>
      </c>
      <c r="L39">
        <f>0.5*$J$13*K39*H39^2</f>
        <v>184.518016848</v>
      </c>
      <c r="M39">
        <v>100</v>
      </c>
      <c r="N39">
        <f>1600*M39</f>
        <v>160000</v>
      </c>
      <c r="O39" s="7">
        <f>N39*L39/1000000</f>
        <v>29.52288269568</v>
      </c>
      <c r="P39" s="53">
        <f>0.008/$P$33</f>
        <v>8.0000000000000002E-3</v>
      </c>
      <c r="Q39" s="7">
        <f>P39*F39</f>
        <v>12.74</v>
      </c>
      <c r="R39" s="7">
        <f>Q39*N39/1000000</f>
        <v>2.0384000000000002</v>
      </c>
      <c r="S39" s="36">
        <f>O39+J39+R39</f>
        <v>33.486367482304999</v>
      </c>
      <c r="T39" s="8">
        <v>0.18</v>
      </c>
    </row>
    <row r="40" spans="1:20" x14ac:dyDescent="0.2">
      <c r="A40" t="s">
        <v>24</v>
      </c>
      <c r="B40" s="55">
        <f t="shared" ref="B40:B42" si="20">100/C40</f>
        <v>67.325350565012798</v>
      </c>
      <c r="C40" s="36">
        <f>D40/$K$18</f>
        <v>1.4853246089440693</v>
      </c>
      <c r="D40" s="1">
        <f t="shared" ref="D40:D42" si="21">S40/T40</f>
        <v>216.3152494235695</v>
      </c>
      <c r="E40">
        <v>3500</v>
      </c>
      <c r="F40">
        <f>0.455*E40</f>
        <v>1592.5</v>
      </c>
      <c r="G40" s="52">
        <f>G39</f>
        <v>55</v>
      </c>
      <c r="H40">
        <f>G40*0.447</f>
        <v>24.585000000000001</v>
      </c>
      <c r="I40" s="2">
        <f>0.5*F40*H40^2/1000000</f>
        <v>0.48127119665625007</v>
      </c>
      <c r="J40" s="6">
        <f>I40*$J$35</f>
        <v>4.8127119665625004</v>
      </c>
      <c r="K40" s="52">
        <v>0.626</v>
      </c>
      <c r="L40">
        <f>0.5*$J$13*K40*H40^2</f>
        <v>200.53520581050003</v>
      </c>
      <c r="M40">
        <v>100</v>
      </c>
      <c r="N40">
        <f>1600*M40</f>
        <v>160000</v>
      </c>
      <c r="O40" s="7">
        <f>N40*L40/1000000</f>
        <v>32.085632929680003</v>
      </c>
      <c r="P40" s="53">
        <f t="shared" ref="P40:P42" si="22">0.008/$P$33</f>
        <v>8.0000000000000002E-3</v>
      </c>
      <c r="Q40" s="7">
        <f t="shared" ref="Q40:Q42" si="23">P40*F40</f>
        <v>12.74</v>
      </c>
      <c r="R40" s="7">
        <f t="shared" ref="R40:R42" si="24">Q40*N40/1000000</f>
        <v>2.0384000000000002</v>
      </c>
      <c r="S40" s="36">
        <f t="shared" ref="S40:S42" si="25">O40+J40+R40</f>
        <v>38.936744896242509</v>
      </c>
      <c r="T40" s="8">
        <v>0.18</v>
      </c>
    </row>
    <row r="41" spans="1:20" x14ac:dyDescent="0.2">
      <c r="A41" t="s">
        <v>39</v>
      </c>
      <c r="B41" s="55">
        <f t="shared" si="20"/>
        <v>65.189594755828779</v>
      </c>
      <c r="C41" s="36">
        <f t="shared" ref="C41:C42" si="26">D41/$K$17</f>
        <v>1.5339871397353444</v>
      </c>
      <c r="D41" s="1">
        <f t="shared" si="21"/>
        <v>201.33581209026394</v>
      </c>
      <c r="E41">
        <v>3850</v>
      </c>
      <c r="F41">
        <f t="shared" ref="F41:F42" si="27">0.455*E41</f>
        <v>1751.75</v>
      </c>
      <c r="G41" s="52">
        <f t="shared" ref="G41:G42" si="28">G40</f>
        <v>55</v>
      </c>
      <c r="H41">
        <f t="shared" ref="H41:H42" si="29">G41*0.447</f>
        <v>24.585000000000001</v>
      </c>
      <c r="I41" s="2">
        <f t="shared" ref="I41" si="30">0.5*F41*H41^2/1000000</f>
        <v>0.52939831632187495</v>
      </c>
      <c r="J41" s="6">
        <f>I41*$J$35*0.4</f>
        <v>2.1175932652874998</v>
      </c>
      <c r="K41" s="52">
        <v>0.622</v>
      </c>
      <c r="L41">
        <f>0.5*$J$13*K41*H41^2</f>
        <v>199.25383069350002</v>
      </c>
      <c r="M41">
        <v>100</v>
      </c>
      <c r="N41">
        <f t="shared" ref="N41:N42" si="31">1600*M41</f>
        <v>160000</v>
      </c>
      <c r="O41" s="7">
        <f t="shared" ref="O41:O42" si="32">N41*L41/1000000</f>
        <v>31.880612910960004</v>
      </c>
      <c r="P41" s="53">
        <f t="shared" si="22"/>
        <v>8.0000000000000002E-3</v>
      </c>
      <c r="Q41" s="7">
        <f t="shared" si="23"/>
        <v>14.014000000000001</v>
      </c>
      <c r="R41" s="7">
        <f t="shared" si="24"/>
        <v>2.2422399999999998</v>
      </c>
      <c r="S41" s="36">
        <f t="shared" si="25"/>
        <v>36.240446176247509</v>
      </c>
      <c r="T41" s="8">
        <v>0.18</v>
      </c>
    </row>
    <row r="42" spans="1:20" x14ac:dyDescent="0.2">
      <c r="A42" t="s">
        <v>38</v>
      </c>
      <c r="B42" s="55">
        <f t="shared" si="20"/>
        <v>17.019568449242723</v>
      </c>
      <c r="C42" s="36">
        <f t="shared" si="26"/>
        <v>5.8755896366132276</v>
      </c>
      <c r="D42" s="1">
        <f t="shared" si="21"/>
        <v>771.17113980548618</v>
      </c>
      <c r="E42">
        <v>6500</v>
      </c>
      <c r="F42">
        <f t="shared" si="27"/>
        <v>2957.5</v>
      </c>
      <c r="G42" s="52">
        <f t="shared" si="28"/>
        <v>55</v>
      </c>
      <c r="H42">
        <f t="shared" si="29"/>
        <v>24.585000000000001</v>
      </c>
      <c r="I42" s="2">
        <f>0.5*F42*H42^2/1000000</f>
        <v>0.89378936521875008</v>
      </c>
      <c r="J42" s="6">
        <f>I42*$J$35</f>
        <v>8.9378936521875012</v>
      </c>
      <c r="K42" s="52">
        <v>2.46</v>
      </c>
      <c r="L42">
        <f>0.5*$J$13*K42*H42^2</f>
        <v>788.04569695500004</v>
      </c>
      <c r="M42">
        <v>100</v>
      </c>
      <c r="N42">
        <f t="shared" si="31"/>
        <v>160000</v>
      </c>
      <c r="O42" s="7">
        <f t="shared" si="32"/>
        <v>126.08731151280001</v>
      </c>
      <c r="P42" s="53">
        <f t="shared" si="22"/>
        <v>8.0000000000000002E-3</v>
      </c>
      <c r="Q42" s="7">
        <f t="shared" si="23"/>
        <v>23.66</v>
      </c>
      <c r="R42" s="7">
        <f t="shared" si="24"/>
        <v>3.7856000000000001</v>
      </c>
      <c r="S42" s="36">
        <f t="shared" si="25"/>
        <v>138.8108051649875</v>
      </c>
      <c r="T42" s="8">
        <v>0.18</v>
      </c>
    </row>
  </sheetData>
  <mergeCells count="16">
    <mergeCell ref="E1:J1"/>
    <mergeCell ref="P4:Q4"/>
    <mergeCell ref="P24:Q24"/>
    <mergeCell ref="K3:O4"/>
    <mergeCell ref="B3:H4"/>
    <mergeCell ref="I4:J4"/>
    <mergeCell ref="B23:H24"/>
    <mergeCell ref="K23:O24"/>
    <mergeCell ref="I24:J24"/>
    <mergeCell ref="G22:J22"/>
    <mergeCell ref="F2:J2"/>
    <mergeCell ref="F34:J34"/>
    <mergeCell ref="B35:H36"/>
    <mergeCell ref="K35:O36"/>
    <mergeCell ref="I36:J36"/>
    <mergeCell ref="P36:Q36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1"/>
  <sheetViews>
    <sheetView workbookViewId="0">
      <selection activeCell="D9" sqref="D9"/>
    </sheetView>
  </sheetViews>
  <sheetFormatPr baseColWidth="10" defaultRowHeight="16" x14ac:dyDescent="0.2"/>
  <cols>
    <col min="2" max="2" width="21.33203125" customWidth="1"/>
    <col min="3" max="3" width="27.1640625" bestFit="1" customWidth="1"/>
    <col min="4" max="4" width="19.1640625" bestFit="1" customWidth="1"/>
    <col min="5" max="5" width="22.1640625" customWidth="1"/>
    <col min="6" max="6" width="23.83203125" customWidth="1"/>
  </cols>
  <sheetData>
    <row r="1" spans="2:12" x14ac:dyDescent="0.2">
      <c r="B1" t="s">
        <v>52</v>
      </c>
    </row>
    <row r="2" spans="2:12" x14ac:dyDescent="0.2">
      <c r="B2">
        <v>15000</v>
      </c>
      <c r="C2" t="s">
        <v>66</v>
      </c>
    </row>
    <row r="3" spans="2:12" x14ac:dyDescent="0.2">
      <c r="B3">
        <v>8.8870000000000005</v>
      </c>
      <c r="C3" t="s">
        <v>68</v>
      </c>
    </row>
    <row r="4" spans="2:12" x14ac:dyDescent="0.2">
      <c r="B4">
        <v>10.18</v>
      </c>
      <c r="C4" t="s">
        <v>67</v>
      </c>
    </row>
    <row r="6" spans="2:12" x14ac:dyDescent="0.2">
      <c r="C6" s="28" t="s">
        <v>53</v>
      </c>
      <c r="D6" s="28"/>
      <c r="E6" t="s">
        <v>54</v>
      </c>
      <c r="F6" t="s">
        <v>55</v>
      </c>
      <c r="G6" t="s">
        <v>39</v>
      </c>
      <c r="H6" t="s">
        <v>91</v>
      </c>
    </row>
    <row r="7" spans="2:12" ht="17" thickBot="1" x14ac:dyDescent="0.25">
      <c r="C7" s="29" t="s">
        <v>56</v>
      </c>
      <c r="D7" s="29" t="s">
        <v>57</v>
      </c>
      <c r="E7" s="29" t="s">
        <v>58</v>
      </c>
      <c r="F7" s="29" t="s">
        <v>59</v>
      </c>
      <c r="G7" s="29"/>
    </row>
    <row r="8" spans="2:12" x14ac:dyDescent="0.2">
      <c r="B8" s="30" t="s">
        <v>60</v>
      </c>
      <c r="C8" s="31">
        <v>25000</v>
      </c>
      <c r="D8" s="31">
        <v>29500</v>
      </c>
      <c r="E8" s="31">
        <v>26354</v>
      </c>
      <c r="F8" s="31">
        <f>28149-4000</f>
        <v>24149</v>
      </c>
      <c r="G8" s="33">
        <v>32711</v>
      </c>
      <c r="H8">
        <v>26000</v>
      </c>
      <c r="J8" t="s">
        <v>82</v>
      </c>
      <c r="K8" t="s">
        <v>84</v>
      </c>
      <c r="L8" t="s">
        <v>85</v>
      </c>
    </row>
    <row r="9" spans="2:12" x14ac:dyDescent="0.2">
      <c r="B9" s="30" t="s">
        <v>61</v>
      </c>
      <c r="C9" s="30">
        <v>33</v>
      </c>
      <c r="D9" s="30">
        <v>42</v>
      </c>
      <c r="E9" s="30">
        <v>42</v>
      </c>
      <c r="F9" s="30">
        <v>47</v>
      </c>
      <c r="G9" s="30">
        <v>35</v>
      </c>
      <c r="H9">
        <v>32</v>
      </c>
      <c r="J9">
        <v>2015</v>
      </c>
      <c r="K9">
        <v>2.4700000000000002</v>
      </c>
      <c r="L9">
        <f>K9+0.5</f>
        <v>2.97</v>
      </c>
    </row>
    <row r="10" spans="2:12" x14ac:dyDescent="0.2">
      <c r="B10" s="30" t="s">
        <v>64</v>
      </c>
      <c r="C10" s="30">
        <v>8.8000000000000007</v>
      </c>
      <c r="D10" s="30">
        <v>8.8000000000000007</v>
      </c>
      <c r="E10" s="30">
        <v>10.3</v>
      </c>
      <c r="F10" s="30">
        <v>8.1</v>
      </c>
      <c r="G10" s="30">
        <v>9.1999999999999993</v>
      </c>
      <c r="H10">
        <v>9.4</v>
      </c>
      <c r="J10">
        <v>2016</v>
      </c>
      <c r="K10">
        <v>2.78</v>
      </c>
      <c r="L10">
        <f t="shared" ref="L10:L19" si="0">K10+0.5</f>
        <v>3.28</v>
      </c>
    </row>
    <row r="11" spans="2:12" x14ac:dyDescent="0.2">
      <c r="B11" s="30" t="s">
        <v>63</v>
      </c>
      <c r="C11" s="32">
        <f t="shared" ref="C11:H11" si="1">15000/C9</f>
        <v>454.54545454545456</v>
      </c>
      <c r="D11" s="32">
        <f t="shared" si="1"/>
        <v>357.14285714285717</v>
      </c>
      <c r="E11" s="32">
        <f t="shared" si="1"/>
        <v>357.14285714285717</v>
      </c>
      <c r="F11" s="32">
        <f t="shared" si="1"/>
        <v>319.14893617021278</v>
      </c>
      <c r="G11" s="32">
        <f t="shared" si="1"/>
        <v>428.57142857142856</v>
      </c>
      <c r="H11" s="32">
        <f t="shared" si="1"/>
        <v>468.75</v>
      </c>
      <c r="J11">
        <v>2017</v>
      </c>
      <c r="K11">
        <v>2.96</v>
      </c>
      <c r="L11">
        <f t="shared" si="0"/>
        <v>3.46</v>
      </c>
    </row>
    <row r="12" spans="2:12" x14ac:dyDescent="0.2">
      <c r="B12" s="59" t="s">
        <v>65</v>
      </c>
      <c r="C12" s="60">
        <f>$B$2*10/C9</f>
        <v>4545.454545454545</v>
      </c>
      <c r="D12" s="60">
        <f t="shared" ref="D12:F12" si="2">$B$2*10/D9</f>
        <v>3571.4285714285716</v>
      </c>
      <c r="E12" s="60">
        <f t="shared" si="2"/>
        <v>3571.4285714285716</v>
      </c>
      <c r="F12" s="60">
        <f t="shared" si="2"/>
        <v>3191.4893617021276</v>
      </c>
      <c r="G12" s="60">
        <f>$B$2*10/G9</f>
        <v>4285.7142857142853</v>
      </c>
      <c r="H12" s="60">
        <f>$B$2*10/H9</f>
        <v>4687.5</v>
      </c>
      <c r="J12">
        <v>2018</v>
      </c>
      <c r="K12">
        <v>3.06</v>
      </c>
      <c r="L12">
        <f t="shared" si="0"/>
        <v>3.56</v>
      </c>
    </row>
    <row r="13" spans="2:12" x14ac:dyDescent="0.2">
      <c r="B13" s="57" t="s">
        <v>69</v>
      </c>
      <c r="C13" s="58">
        <f>C12*B3</f>
        <v>40395.454545454544</v>
      </c>
      <c r="D13" s="58">
        <f>B4*D12</f>
        <v>36357.142857142855</v>
      </c>
      <c r="E13" s="58">
        <f>$B$3*E12</f>
        <v>31739.285714285717</v>
      </c>
      <c r="F13" s="58">
        <f t="shared" ref="F13:G13" si="3">$B$3*F12</f>
        <v>28362.765957446809</v>
      </c>
      <c r="G13" s="58">
        <f t="shared" si="3"/>
        <v>38087.142857142855</v>
      </c>
      <c r="H13" s="58">
        <f t="shared" ref="H13" si="4">$B$3*H12</f>
        <v>41657.8125</v>
      </c>
      <c r="J13">
        <v>2019</v>
      </c>
      <c r="K13">
        <v>3.07</v>
      </c>
      <c r="L13">
        <f t="shared" si="0"/>
        <v>3.57</v>
      </c>
    </row>
    <row r="14" spans="2:12" x14ac:dyDescent="0.2">
      <c r="B14" s="34"/>
      <c r="C14" s="34"/>
      <c r="D14" s="34"/>
      <c r="E14" s="34"/>
      <c r="F14" s="34"/>
      <c r="G14" s="34"/>
      <c r="H14" s="34"/>
      <c r="J14">
        <v>2020</v>
      </c>
      <c r="K14">
        <v>3.08</v>
      </c>
      <c r="L14">
        <f t="shared" si="0"/>
        <v>3.58</v>
      </c>
    </row>
    <row r="15" spans="2:12" x14ac:dyDescent="0.2">
      <c r="B15" s="47" t="s">
        <v>62</v>
      </c>
      <c r="C15" s="48">
        <f t="shared" ref="C15:H15" si="5">PMT(0.03/12,60,C8,0,0)</f>
        <v>-449.21726660157844</v>
      </c>
      <c r="D15" s="48">
        <f t="shared" si="5"/>
        <v>-530.07637458986267</v>
      </c>
      <c r="E15" s="48">
        <f t="shared" si="5"/>
        <v>-473.54687376071996</v>
      </c>
      <c r="F15" s="48">
        <f t="shared" si="5"/>
        <v>-433.92591084646074</v>
      </c>
      <c r="G15" s="48">
        <f t="shared" si="5"/>
        <v>-587.77384031216934</v>
      </c>
      <c r="H15" s="48">
        <f t="shared" si="5"/>
        <v>-467.18595726564166</v>
      </c>
      <c r="J15">
        <v>2021</v>
      </c>
      <c r="K15">
        <v>3.09</v>
      </c>
      <c r="L15">
        <f t="shared" si="0"/>
        <v>3.59</v>
      </c>
    </row>
    <row r="16" spans="2:12" x14ac:dyDescent="0.2">
      <c r="B16" s="34" t="s">
        <v>72</v>
      </c>
      <c r="C16" s="35">
        <f>-60*C15</f>
        <v>26953.035996094706</v>
      </c>
      <c r="D16" s="35">
        <f t="shared" ref="D16:G16" si="6">-60*D15</f>
        <v>31804.582475391759</v>
      </c>
      <c r="E16" s="35">
        <f t="shared" si="6"/>
        <v>28412.812425643198</v>
      </c>
      <c r="F16" s="35">
        <f t="shared" si="6"/>
        <v>26035.554650787642</v>
      </c>
      <c r="G16" s="35">
        <f t="shared" si="6"/>
        <v>35266.43041873016</v>
      </c>
      <c r="H16" s="35">
        <f t="shared" ref="H16" si="7">-60*H15</f>
        <v>28031.157435938501</v>
      </c>
      <c r="J16">
        <v>2022</v>
      </c>
      <c r="K16">
        <v>3.1</v>
      </c>
      <c r="L16">
        <f t="shared" si="0"/>
        <v>3.6</v>
      </c>
    </row>
    <row r="17" spans="2:12" x14ac:dyDescent="0.2">
      <c r="J17">
        <v>2023</v>
      </c>
      <c r="K17">
        <v>3.11</v>
      </c>
      <c r="L17">
        <f t="shared" si="0"/>
        <v>3.61</v>
      </c>
    </row>
    <row r="18" spans="2:12" x14ac:dyDescent="0.2">
      <c r="B18" s="30" t="s">
        <v>70</v>
      </c>
      <c r="C18" s="49">
        <v>2.48</v>
      </c>
      <c r="D18" s="49">
        <v>2.85</v>
      </c>
      <c r="E18" s="49">
        <f>$C$18</f>
        <v>2.48</v>
      </c>
      <c r="F18" s="49">
        <f t="shared" ref="F18:H18" si="8">$C$18</f>
        <v>2.48</v>
      </c>
      <c r="G18" s="49">
        <f t="shared" si="8"/>
        <v>2.48</v>
      </c>
      <c r="H18" s="49">
        <f t="shared" si="8"/>
        <v>2.48</v>
      </c>
      <c r="J18">
        <v>2024</v>
      </c>
      <c r="K18">
        <v>3.12</v>
      </c>
      <c r="L18">
        <f t="shared" si="0"/>
        <v>3.62</v>
      </c>
    </row>
    <row r="19" spans="2:12" x14ac:dyDescent="0.2">
      <c r="B19" s="30" t="s">
        <v>71</v>
      </c>
      <c r="C19" s="61">
        <f>C18*C12</f>
        <v>11272.727272727272</v>
      </c>
      <c r="D19" s="61">
        <f t="shared" ref="D19:G19" si="9">D18*D12</f>
        <v>10178.571428571429</v>
      </c>
      <c r="E19" s="61">
        <f t="shared" si="9"/>
        <v>8857.1428571428569</v>
      </c>
      <c r="F19" s="61">
        <f t="shared" si="9"/>
        <v>7914.8936170212764</v>
      </c>
      <c r="G19" s="61">
        <f t="shared" si="9"/>
        <v>10628.571428571428</v>
      </c>
      <c r="H19" s="61">
        <f t="shared" ref="H19" si="10">H18*H12</f>
        <v>11625</v>
      </c>
      <c r="J19">
        <v>2025</v>
      </c>
      <c r="K19">
        <v>3.13</v>
      </c>
      <c r="L19">
        <f t="shared" si="0"/>
        <v>3.63</v>
      </c>
    </row>
    <row r="20" spans="2:12" x14ac:dyDescent="0.2">
      <c r="J20" t="s">
        <v>83</v>
      </c>
      <c r="K20">
        <f>AVERAGE(K9:K19)</f>
        <v>2.997272727272728</v>
      </c>
      <c r="L20">
        <f>AVERAGE(L9:L19)</f>
        <v>3.497272727272728</v>
      </c>
    </row>
    <row r="21" spans="2:12" ht="17" thickBot="1" x14ac:dyDescent="0.25">
      <c r="B21" s="50" t="s">
        <v>73</v>
      </c>
      <c r="C21" s="62">
        <f>C16+C19</f>
        <v>38225.763268821975</v>
      </c>
      <c r="D21" s="62">
        <f t="shared" ref="D21:G21" si="11">D16+D19</f>
        <v>41983.15390396319</v>
      </c>
      <c r="E21" s="62">
        <f t="shared" si="11"/>
        <v>37269.955282786053</v>
      </c>
      <c r="F21" s="62">
        <f t="shared" si="11"/>
        <v>33950.448267808919</v>
      </c>
      <c r="G21" s="62">
        <f t="shared" si="11"/>
        <v>45895.001847301588</v>
      </c>
      <c r="H21" s="62">
        <f t="shared" ref="H21" si="12">H16+H19</f>
        <v>39656.157435938498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Colby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Colby College</dc:creator>
  <cp:lastModifiedBy>D. Whitney KIng</cp:lastModifiedBy>
  <dcterms:created xsi:type="dcterms:W3CDTF">2015-02-15T20:46:02Z</dcterms:created>
  <dcterms:modified xsi:type="dcterms:W3CDTF">2018-04-19T01:22:56Z</dcterms:modified>
</cp:coreProperties>
</file>