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rdonihu\Documents\Joules2Dollars\EC278 Spring 2018\"/>
    </mc:Choice>
  </mc:AlternateContent>
  <bookViews>
    <workbookView xWindow="0" yWindow="0" windowWidth="20490" windowHeight="7620" tabRatio="500"/>
  </bookViews>
  <sheets>
    <sheet name="Sheet2" sheetId="2" r:id="rId1"/>
  </sheets>
  <calcPr calcId="162913" concurrentCalc="0"/>
</workbook>
</file>

<file path=xl/calcChain.xml><?xml version="1.0" encoding="utf-8"?>
<calcChain xmlns="http://schemas.openxmlformats.org/spreadsheetml/2006/main">
  <c r="B22" i="2" l="1"/>
  <c r="B24" i="2"/>
  <c r="B26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B45" i="2"/>
  <c r="C47" i="2"/>
  <c r="B27" i="2"/>
  <c r="B37" i="2"/>
  <c r="B36" i="2"/>
  <c r="B35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B47" i="2"/>
  <c r="B46" i="2"/>
  <c r="J40" i="2"/>
  <c r="K40" i="2"/>
  <c r="J41" i="2"/>
  <c r="K41" i="2"/>
  <c r="J42" i="2"/>
  <c r="K42" i="2"/>
  <c r="J43" i="2"/>
  <c r="K43" i="2"/>
  <c r="J44" i="2"/>
  <c r="K44" i="2"/>
  <c r="J45" i="2"/>
  <c r="K45" i="2"/>
  <c r="J46" i="2"/>
  <c r="K46" i="2"/>
  <c r="J47" i="2"/>
  <c r="K47" i="2"/>
  <c r="J48" i="2"/>
  <c r="K48" i="2"/>
  <c r="J49" i="2"/>
  <c r="K49" i="2"/>
  <c r="J50" i="2"/>
  <c r="K50" i="2"/>
  <c r="J51" i="2"/>
  <c r="K51" i="2"/>
  <c r="J52" i="2"/>
  <c r="K52" i="2"/>
  <c r="J53" i="2"/>
  <c r="K53" i="2"/>
  <c r="J54" i="2"/>
  <c r="K54" i="2"/>
  <c r="J55" i="2"/>
  <c r="K55" i="2"/>
  <c r="J56" i="2"/>
  <c r="K56" i="2"/>
  <c r="J57" i="2"/>
  <c r="K57" i="2"/>
  <c r="J58" i="2"/>
  <c r="K58" i="2"/>
  <c r="J59" i="2"/>
  <c r="K59" i="2"/>
  <c r="J60" i="2"/>
  <c r="K60" i="2"/>
  <c r="J61" i="2"/>
  <c r="K61" i="2"/>
  <c r="J62" i="2"/>
  <c r="K62" i="2"/>
  <c r="J63" i="2"/>
  <c r="K63" i="2"/>
  <c r="J64" i="2"/>
  <c r="K64" i="2"/>
  <c r="B43" i="2"/>
  <c r="B44" i="2"/>
  <c r="I44" i="2"/>
  <c r="I43" i="2"/>
  <c r="I42" i="2"/>
  <c r="I41" i="2"/>
  <c r="I40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41" i="2"/>
  <c r="G40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41" i="2"/>
  <c r="B29" i="2"/>
  <c r="B18" i="2"/>
  <c r="B17" i="2"/>
  <c r="B11" i="2"/>
  <c r="B8" i="2"/>
  <c r="B6" i="2"/>
</calcChain>
</file>

<file path=xl/sharedStrings.xml><?xml version="1.0" encoding="utf-8"?>
<sst xmlns="http://schemas.openxmlformats.org/spreadsheetml/2006/main" count="68" uniqueCount="63">
  <si>
    <t>Efficiency</t>
  </si>
  <si>
    <t>Installed cost</t>
  </si>
  <si>
    <t>kWh</t>
  </si>
  <si>
    <t>gallons</t>
  </si>
  <si>
    <t>Amount of propane purchased</t>
  </si>
  <si>
    <t>Gross load @ 91,502 BTUs/gallon</t>
  </si>
  <si>
    <t>BTUs</t>
  </si>
  <si>
    <t>Current system: propane fired hot water heater (Polaris)</t>
  </si>
  <si>
    <t>System is 17 years old</t>
  </si>
  <si>
    <t>"Useful heat plus waste"</t>
  </si>
  <si>
    <t>95% new</t>
  </si>
  <si>
    <t>Propane price</t>
  </si>
  <si>
    <t>$/gallon</t>
  </si>
  <si>
    <t>2018 price is closer to $2.54</t>
  </si>
  <si>
    <t>Cost of Fuel in 2017</t>
  </si>
  <si>
    <t>2017 data</t>
  </si>
  <si>
    <t>Net load for my home</t>
  </si>
  <si>
    <t>Heat to be delivered given the desired temperature (assuming no change in weather)</t>
  </si>
  <si>
    <t>Gross load @ 85% efficiency</t>
  </si>
  <si>
    <t>Geothermal system (ground-source)</t>
  </si>
  <si>
    <t>Incentives</t>
  </si>
  <si>
    <t xml:space="preserve">  Efficiency Maine</t>
  </si>
  <si>
    <t xml:space="preserve">  30% Federal Tax credit</t>
  </si>
  <si>
    <t>Net cost</t>
  </si>
  <si>
    <t>Energy output per unit energy input</t>
  </si>
  <si>
    <t>Energy delivered</t>
  </si>
  <si>
    <t>Conversion factor</t>
  </si>
  <si>
    <t>BTUs per kWh</t>
  </si>
  <si>
    <t>Energy consumption</t>
  </si>
  <si>
    <t>Price of electricity</t>
  </si>
  <si>
    <t>$/kWh</t>
  </si>
  <si>
    <t>Energy cost</t>
  </si>
  <si>
    <t>Fuel savings</t>
  </si>
  <si>
    <t>Simple payback</t>
  </si>
  <si>
    <t>years</t>
  </si>
  <si>
    <t>Financing</t>
  </si>
  <si>
    <t>Loan term</t>
  </si>
  <si>
    <t>months</t>
  </si>
  <si>
    <t>Interest rate</t>
  </si>
  <si>
    <t>Loan amount</t>
  </si>
  <si>
    <t>Monthly payment</t>
  </si>
  <si>
    <t>Total cost</t>
  </si>
  <si>
    <t>Cash flow analysis for a system design life of 25 years</t>
  </si>
  <si>
    <t>Inflation rate</t>
  </si>
  <si>
    <t>Total savings</t>
  </si>
  <si>
    <t>Total fuel savings</t>
  </si>
  <si>
    <t>Cost of investment</t>
  </si>
  <si>
    <t>Discount rate (nominal)</t>
  </si>
  <si>
    <t>Alternative return</t>
  </si>
  <si>
    <t>Return on investment</t>
  </si>
  <si>
    <t>Year</t>
  </si>
  <si>
    <t>Current system</t>
  </si>
  <si>
    <t>New system</t>
  </si>
  <si>
    <t>Loan payments</t>
  </si>
  <si>
    <t>System Cost</t>
  </si>
  <si>
    <t>Net present value of savings</t>
  </si>
  <si>
    <t>Cash
Flow</t>
  </si>
  <si>
    <t>Cumulative Fuel savings</t>
  </si>
  <si>
    <t>Payback !</t>
  </si>
  <si>
    <t>Efficiency  (COP)</t>
  </si>
  <si>
    <t>5-year loan</t>
  </si>
  <si>
    <t>annualized r.o.g.</t>
  </si>
  <si>
    <t>COP range for GSHP is 2.4 to 4 (higher for radiant floor heating)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</si>
</sst>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6" formatCode="&quot;$&quot;#,##0_);[Red]\(&quot;$&quot;#,##0\)"/>
    <numFmt numFmtId="8" formatCode="&quot;$&quot;#,##0.00_);[Red]\(&quot;$&quot;#,##0.00\)"/>
    <numFmt numFmtId="164" formatCode="_-* #,##0.00_-;\-* #,##0.00_-;_-* &quot;-&quot;??_-;_-@_-"/>
    <numFmt numFmtId="165" formatCode="&quot;$&quot;#,##0"/>
    <numFmt numFmtId="166" formatCode="&quot;$&quot;#,##0.00"/>
    <numFmt numFmtId="167" formatCode="&quot;$&quot;#,##0.0"/>
    <numFmt numFmtId="168" formatCode="0.0%"/>
  </numFmts>
  <fonts count="5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34998626667073579"/>
      </right>
      <top/>
      <bottom/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38">
    <xf numFmtId="0" fontId="0" fillId="0" borderId="0" xfId="0"/>
    <xf numFmtId="1" fontId="0" fillId="0" borderId="0" xfId="0" applyNumberFormat="1"/>
    <xf numFmtId="0" fontId="3" fillId="0" borderId="0" xfId="0" applyFont="1"/>
    <xf numFmtId="3" fontId="0" fillId="0" borderId="0" xfId="1" applyNumberFormat="1" applyFont="1"/>
    <xf numFmtId="9" fontId="0" fillId="0" borderId="0" xfId="0" applyNumberFormat="1"/>
    <xf numFmtId="165" fontId="0" fillId="0" borderId="0" xfId="0" applyNumberFormat="1"/>
    <xf numFmtId="166" fontId="0" fillId="0" borderId="0" xfId="0" applyNumberFormat="1"/>
    <xf numFmtId="167" fontId="0" fillId="0" borderId="0" xfId="0" applyNumberFormat="1"/>
    <xf numFmtId="3" fontId="0" fillId="0" borderId="0" xfId="0" applyNumberFormat="1"/>
    <xf numFmtId="168" fontId="0" fillId="0" borderId="0" xfId="0" applyNumberFormat="1"/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165" fontId="0" fillId="2" borderId="0" xfId="0" applyNumberFormat="1" applyFill="1" applyAlignment="1">
      <alignment horizontal="center" vertical="center"/>
    </xf>
    <xf numFmtId="0" fontId="0" fillId="2" borderId="0" xfId="0" applyFill="1"/>
    <xf numFmtId="165" fontId="0" fillId="0" borderId="0" xfId="0" applyNumberFormat="1" applyAlignment="1"/>
    <xf numFmtId="0" fontId="0" fillId="0" borderId="0" xfId="0" applyAlignment="1"/>
    <xf numFmtId="9" fontId="0" fillId="0" borderId="0" xfId="0" applyNumberFormat="1" applyAlignment="1"/>
    <xf numFmtId="8" fontId="0" fillId="0" borderId="0" xfId="0" applyNumberFormat="1" applyAlignment="1"/>
    <xf numFmtId="1" fontId="0" fillId="0" borderId="0" xfId="0" applyNumberFormat="1" applyAlignment="1"/>
    <xf numFmtId="0" fontId="3" fillId="0" borderId="0" xfId="0" applyFont="1" applyAlignment="1">
      <alignment horizontal="left"/>
    </xf>
    <xf numFmtId="0" fontId="1" fillId="4" borderId="1" xfId="0" applyFont="1" applyFill="1" applyBorder="1" applyAlignment="1">
      <alignment horizontal="center" wrapText="1"/>
    </xf>
    <xf numFmtId="0" fontId="0" fillId="0" borderId="2" xfId="0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165" fontId="0" fillId="0" borderId="0" xfId="0" applyNumberFormat="1" applyFill="1" applyAlignment="1">
      <alignment horizontal="center" vertical="center"/>
    </xf>
    <xf numFmtId="166" fontId="0" fillId="0" borderId="0" xfId="0" applyNumberFormat="1" applyFill="1" applyAlignment="1">
      <alignment horizontal="center" vertical="center"/>
    </xf>
    <xf numFmtId="6" fontId="0" fillId="2" borderId="0" xfId="0" applyNumberFormat="1" applyFill="1" applyAlignment="1"/>
    <xf numFmtId="0" fontId="0" fillId="0" borderId="0" xfId="0" applyAlignment="1">
      <alignment horizontal="right"/>
    </xf>
    <xf numFmtId="168" fontId="0" fillId="0" borderId="0" xfId="0" applyNumberFormat="1" applyAlignment="1">
      <alignment horizontal="center"/>
    </xf>
    <xf numFmtId="6" fontId="0" fillId="0" borderId="0" xfId="0" applyNumberFormat="1" applyAlignment="1">
      <alignment horizontal="center"/>
    </xf>
    <xf numFmtId="165" fontId="0" fillId="2" borderId="0" xfId="0" applyNumberFormat="1" applyFill="1" applyAlignment="1">
      <alignment horizontal="center"/>
    </xf>
    <xf numFmtId="0" fontId="4" fillId="0" borderId="0" xfId="0" applyFont="1"/>
    <xf numFmtId="0" fontId="3" fillId="0" borderId="0" xfId="0" applyFont="1" applyAlignment="1">
      <alignment horizontal="center" vertical="center"/>
    </xf>
    <xf numFmtId="0" fontId="0" fillId="3" borderId="0" xfId="0" applyFill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4"/>
  <sheetViews>
    <sheetView tabSelected="1" workbookViewId="0">
      <selection activeCell="C22" sqref="C22"/>
    </sheetView>
  </sheetViews>
  <sheetFormatPr defaultRowHeight="15.75" x14ac:dyDescent="0.25"/>
  <cols>
    <col min="1" max="1" width="28.75" customWidth="1"/>
    <col min="2" max="2" width="11.125" customWidth="1"/>
    <col min="11" max="11" width="9.5" bestFit="1" customWidth="1"/>
    <col min="12" max="12" width="9.625" customWidth="1"/>
  </cols>
  <sheetData>
    <row r="1" spans="1:4" x14ac:dyDescent="0.25">
      <c r="A1" s="2" t="s">
        <v>7</v>
      </c>
    </row>
    <row r="2" spans="1:4" x14ac:dyDescent="0.25">
      <c r="A2" t="s">
        <v>8</v>
      </c>
    </row>
    <row r="4" spans="1:4" x14ac:dyDescent="0.25">
      <c r="A4" s="21" t="s">
        <v>15</v>
      </c>
    </row>
    <row r="5" spans="1:4" x14ac:dyDescent="0.25">
      <c r="A5" t="s">
        <v>4</v>
      </c>
      <c r="B5">
        <v>740</v>
      </c>
      <c r="C5" t="s">
        <v>3</v>
      </c>
    </row>
    <row r="6" spans="1:4" x14ac:dyDescent="0.25">
      <c r="A6" t="s">
        <v>5</v>
      </c>
      <c r="B6" s="3">
        <f>B5*91502</f>
        <v>67711480</v>
      </c>
      <c r="C6" t="s">
        <v>6</v>
      </c>
      <c r="D6" t="s">
        <v>9</v>
      </c>
    </row>
    <row r="7" spans="1:4" x14ac:dyDescent="0.25">
      <c r="A7" t="s">
        <v>0</v>
      </c>
      <c r="B7" s="4">
        <v>0.85</v>
      </c>
      <c r="D7" t="s">
        <v>10</v>
      </c>
    </row>
    <row r="8" spans="1:4" x14ac:dyDescent="0.25">
      <c r="A8" t="s">
        <v>11</v>
      </c>
      <c r="B8" s="6">
        <f>B9/B5</f>
        <v>2.2229729729729728</v>
      </c>
      <c r="C8" t="s">
        <v>12</v>
      </c>
      <c r="D8" t="s">
        <v>13</v>
      </c>
    </row>
    <row r="9" spans="1:4" x14ac:dyDescent="0.25">
      <c r="A9" t="s">
        <v>14</v>
      </c>
      <c r="B9" s="5">
        <v>1645</v>
      </c>
    </row>
    <row r="11" spans="1:4" x14ac:dyDescent="0.25">
      <c r="A11" t="s">
        <v>16</v>
      </c>
      <c r="B11" s="8">
        <f>B6*B7</f>
        <v>57554758</v>
      </c>
      <c r="C11" t="s">
        <v>6</v>
      </c>
      <c r="D11" t="s">
        <v>17</v>
      </c>
    </row>
    <row r="12" spans="1:4" x14ac:dyDescent="0.25">
      <c r="D12" t="s">
        <v>18</v>
      </c>
    </row>
    <row r="13" spans="1:4" x14ac:dyDescent="0.25">
      <c r="A13" s="2" t="s">
        <v>19</v>
      </c>
    </row>
    <row r="14" spans="1:4" x14ac:dyDescent="0.25">
      <c r="A14" t="s">
        <v>1</v>
      </c>
      <c r="B14" s="5">
        <v>20000</v>
      </c>
    </row>
    <row r="15" spans="1:4" x14ac:dyDescent="0.25">
      <c r="A15" s="32" t="s">
        <v>20</v>
      </c>
      <c r="B15" s="5"/>
    </row>
    <row r="16" spans="1:4" x14ac:dyDescent="0.25">
      <c r="A16" t="s">
        <v>21</v>
      </c>
      <c r="B16" s="5">
        <v>3000</v>
      </c>
    </row>
    <row r="17" spans="1:3" x14ac:dyDescent="0.25">
      <c r="A17" t="s">
        <v>22</v>
      </c>
      <c r="B17" s="5">
        <f>0.3*B14</f>
        <v>6000</v>
      </c>
    </row>
    <row r="18" spans="1:3" x14ac:dyDescent="0.25">
      <c r="A18" t="s">
        <v>23</v>
      </c>
      <c r="B18" s="7">
        <f>B14-B16-B17</f>
        <v>11000</v>
      </c>
    </row>
    <row r="20" spans="1:3" x14ac:dyDescent="0.25">
      <c r="A20" t="s">
        <v>59</v>
      </c>
      <c r="B20" s="4">
        <v>3</v>
      </c>
      <c r="C20" t="s">
        <v>24</v>
      </c>
    </row>
    <row r="21" spans="1:3" x14ac:dyDescent="0.25">
      <c r="C21" t="s">
        <v>62</v>
      </c>
    </row>
    <row r="22" spans="1:3" x14ac:dyDescent="0.25">
      <c r="A22" t="s">
        <v>25</v>
      </c>
      <c r="B22" s="8">
        <f>B11/B20</f>
        <v>19184919.333333332</v>
      </c>
      <c r="C22" t="s">
        <v>6</v>
      </c>
    </row>
    <row r="23" spans="1:3" x14ac:dyDescent="0.25">
      <c r="A23" t="s">
        <v>26</v>
      </c>
      <c r="B23">
        <v>3412</v>
      </c>
      <c r="C23" t="s">
        <v>27</v>
      </c>
    </row>
    <row r="24" spans="1:3" x14ac:dyDescent="0.25">
      <c r="A24" t="s">
        <v>28</v>
      </c>
      <c r="B24" s="8">
        <f>B22/B23</f>
        <v>5622.7782336850332</v>
      </c>
      <c r="C24" t="s">
        <v>2</v>
      </c>
    </row>
    <row r="25" spans="1:3" x14ac:dyDescent="0.25">
      <c r="A25" t="s">
        <v>29</v>
      </c>
      <c r="B25" s="6">
        <v>0.12</v>
      </c>
      <c r="C25" t="s">
        <v>30</v>
      </c>
    </row>
    <row r="26" spans="1:3" x14ac:dyDescent="0.25">
      <c r="A26" t="s">
        <v>31</v>
      </c>
      <c r="B26" s="6">
        <f>B24*B25</f>
        <v>674.73338804220396</v>
      </c>
    </row>
    <row r="27" spans="1:3" x14ac:dyDescent="0.25">
      <c r="A27" t="s">
        <v>32</v>
      </c>
      <c r="B27" s="6">
        <f>B9-B26</f>
        <v>970.26661195779604</v>
      </c>
    </row>
    <row r="29" spans="1:3" x14ac:dyDescent="0.25">
      <c r="A29" t="s">
        <v>33</v>
      </c>
      <c r="B29" s="1">
        <f>B18/B27</f>
        <v>11.337090099188604</v>
      </c>
      <c r="C29" t="s">
        <v>34</v>
      </c>
    </row>
    <row r="31" spans="1:3" x14ac:dyDescent="0.25">
      <c r="A31" s="2" t="s">
        <v>35</v>
      </c>
    </row>
    <row r="32" spans="1:3" x14ac:dyDescent="0.25">
      <c r="A32" s="28" t="s">
        <v>39</v>
      </c>
      <c r="B32" s="16">
        <v>11000</v>
      </c>
    </row>
    <row r="33" spans="1:13" x14ac:dyDescent="0.25">
      <c r="A33" s="28" t="s">
        <v>36</v>
      </c>
      <c r="B33" s="17">
        <v>60</v>
      </c>
      <c r="C33" t="s">
        <v>37</v>
      </c>
    </row>
    <row r="34" spans="1:13" x14ac:dyDescent="0.25">
      <c r="A34" s="28" t="s">
        <v>38</v>
      </c>
      <c r="B34" s="18">
        <v>0.03</v>
      </c>
    </row>
    <row r="35" spans="1:13" x14ac:dyDescent="0.25">
      <c r="A35" s="28" t="s">
        <v>40</v>
      </c>
      <c r="B35" s="19">
        <f>-PMT(B34/12,B33,B32)</f>
        <v>197.65559730469454</v>
      </c>
    </row>
    <row r="36" spans="1:13" x14ac:dyDescent="0.25">
      <c r="A36" s="28" t="s">
        <v>41</v>
      </c>
      <c r="B36" s="27">
        <f>B35*B33</f>
        <v>11859.335838281673</v>
      </c>
    </row>
    <row r="37" spans="1:13" x14ac:dyDescent="0.25">
      <c r="A37" s="28" t="s">
        <v>33</v>
      </c>
      <c r="B37" s="20">
        <f>(B36/B27)</f>
        <v>12.222759901375976</v>
      </c>
      <c r="C37" t="s">
        <v>34</v>
      </c>
    </row>
    <row r="38" spans="1:13" x14ac:dyDescent="0.25">
      <c r="F38" s="35" t="s">
        <v>50</v>
      </c>
      <c r="G38" s="35" t="s">
        <v>31</v>
      </c>
      <c r="H38" s="35"/>
      <c r="I38" s="36" t="s">
        <v>53</v>
      </c>
      <c r="J38" s="36" t="s">
        <v>54</v>
      </c>
      <c r="K38" s="36" t="s">
        <v>56</v>
      </c>
      <c r="L38" s="37" t="s">
        <v>57</v>
      </c>
    </row>
    <row r="39" spans="1:13" ht="30" x14ac:dyDescent="0.25">
      <c r="A39" s="33" t="s">
        <v>42</v>
      </c>
      <c r="B39" s="33"/>
      <c r="C39" s="33"/>
      <c r="F39" s="35"/>
      <c r="G39" s="22" t="s">
        <v>51</v>
      </c>
      <c r="H39" s="22" t="s">
        <v>52</v>
      </c>
      <c r="I39" s="36"/>
      <c r="J39" s="36"/>
      <c r="K39" s="35"/>
      <c r="L39" s="37"/>
    </row>
    <row r="40" spans="1:13" x14ac:dyDescent="0.25">
      <c r="F40" s="11">
        <v>1</v>
      </c>
      <c r="G40" s="12">
        <f>B9</f>
        <v>1645</v>
      </c>
      <c r="H40" s="13">
        <f>B26</f>
        <v>674.73338804220396</v>
      </c>
      <c r="I40" s="13">
        <f>-PMT($B$34/12,$B$33,$B$32)*12</f>
        <v>2371.8671676563345</v>
      </c>
      <c r="J40" s="13">
        <f>SUM(H40:I40)</f>
        <v>3046.6005556985383</v>
      </c>
      <c r="K40" s="13">
        <f>G40-J40</f>
        <v>-1401.6005556985383</v>
      </c>
      <c r="L40" s="12">
        <f>G40-H40</f>
        <v>970.26661195779604</v>
      </c>
      <c r="M40" s="34" t="s">
        <v>60</v>
      </c>
    </row>
    <row r="41" spans="1:13" x14ac:dyDescent="0.25">
      <c r="A41" s="28" t="s">
        <v>43</v>
      </c>
      <c r="B41" s="29">
        <v>0.02</v>
      </c>
      <c r="F41" s="11">
        <f>F40+1</f>
        <v>2</v>
      </c>
      <c r="G41" s="12">
        <f>G40*(1+$B$41)</f>
        <v>1677.9</v>
      </c>
      <c r="H41" s="12">
        <f>H40*(1+$B$41)</f>
        <v>688.22805580304805</v>
      </c>
      <c r="I41" s="13">
        <f t="shared" ref="I41:I44" si="0">-PMT($B$34/12,$B$33,$B$32)*12</f>
        <v>2371.8671676563345</v>
      </c>
      <c r="J41" s="13">
        <f t="shared" ref="J41:J64" si="1">SUM(H41:I41)</f>
        <v>3060.0952234593824</v>
      </c>
      <c r="K41" s="13">
        <f t="shared" ref="K41:K64" si="2">G41-J41</f>
        <v>-1382.1952234593823</v>
      </c>
      <c r="L41" s="12">
        <f>L40+G41-H41</f>
        <v>1959.9385561547483</v>
      </c>
      <c r="M41" s="34"/>
    </row>
    <row r="42" spans="1:13" x14ac:dyDescent="0.25">
      <c r="A42" s="28" t="s">
        <v>47</v>
      </c>
      <c r="B42" s="29">
        <v>0.03</v>
      </c>
      <c r="C42" t="s">
        <v>48</v>
      </c>
      <c r="F42" s="11">
        <f t="shared" ref="F42:F64" si="3">F41+1</f>
        <v>3</v>
      </c>
      <c r="G42" s="12">
        <f t="shared" ref="G42:G64" si="4">G41*(1+$B$41)</f>
        <v>1711.4580000000001</v>
      </c>
      <c r="H42" s="12">
        <f t="shared" ref="H42:H64" si="5">H41*(1+$B$41)</f>
        <v>701.99261691910897</v>
      </c>
      <c r="I42" s="13">
        <f t="shared" si="0"/>
        <v>2371.8671676563345</v>
      </c>
      <c r="J42" s="13">
        <f t="shared" si="1"/>
        <v>3073.8597845754434</v>
      </c>
      <c r="K42" s="13">
        <f t="shared" si="2"/>
        <v>-1362.4017845754433</v>
      </c>
      <c r="L42" s="12">
        <f t="shared" ref="L42:L64" si="6">L41+G42-H42</f>
        <v>2969.4039392356394</v>
      </c>
      <c r="M42" s="34"/>
    </row>
    <row r="43" spans="1:13" x14ac:dyDescent="0.25">
      <c r="A43" s="28" t="s">
        <v>44</v>
      </c>
      <c r="B43" s="10">
        <f>SUM(K40:K64)</f>
        <v>19218.59455417575</v>
      </c>
      <c r="F43" s="11">
        <f t="shared" si="3"/>
        <v>4</v>
      </c>
      <c r="G43" s="12">
        <f t="shared" si="4"/>
        <v>1745.6871600000002</v>
      </c>
      <c r="H43" s="12">
        <f t="shared" si="5"/>
        <v>716.03246925749113</v>
      </c>
      <c r="I43" s="13">
        <f t="shared" si="0"/>
        <v>2371.8671676563345</v>
      </c>
      <c r="J43" s="13">
        <f t="shared" si="1"/>
        <v>3087.8996369138258</v>
      </c>
      <c r="K43" s="13">
        <f t="shared" si="2"/>
        <v>-1342.2124769138256</v>
      </c>
      <c r="L43" s="12">
        <f t="shared" si="6"/>
        <v>3999.058629978148</v>
      </c>
      <c r="M43" s="34"/>
    </row>
    <row r="44" spans="1:13" x14ac:dyDescent="0.25">
      <c r="A44" s="28" t="s">
        <v>55</v>
      </c>
      <c r="B44" s="30">
        <f>NPV(B42/12,25*12,B43)</f>
        <v>19422.112602957197</v>
      </c>
      <c r="F44" s="11">
        <f t="shared" si="3"/>
        <v>5</v>
      </c>
      <c r="G44" s="12">
        <f t="shared" si="4"/>
        <v>1780.6009032000002</v>
      </c>
      <c r="H44" s="12">
        <f t="shared" si="5"/>
        <v>730.35311864264099</v>
      </c>
      <c r="I44" s="13">
        <f t="shared" si="0"/>
        <v>2371.8671676563345</v>
      </c>
      <c r="J44" s="13">
        <f t="shared" si="1"/>
        <v>3102.2202862989752</v>
      </c>
      <c r="K44" s="13">
        <f t="shared" si="2"/>
        <v>-1321.619383098975</v>
      </c>
      <c r="L44" s="12">
        <f t="shared" si="6"/>
        <v>5049.3064145355074</v>
      </c>
      <c r="M44" s="34"/>
    </row>
    <row r="45" spans="1:13" x14ac:dyDescent="0.25">
      <c r="A45" s="28" t="s">
        <v>45</v>
      </c>
      <c r="B45" s="10">
        <f>SUM(G40:G64)-SUM(H40:H64)</f>
        <v>31077.93039245742</v>
      </c>
      <c r="F45" s="11">
        <f t="shared" si="3"/>
        <v>6</v>
      </c>
      <c r="G45" s="12">
        <f t="shared" si="4"/>
        <v>1816.2129212640002</v>
      </c>
      <c r="H45" s="12">
        <f t="shared" si="5"/>
        <v>744.96018101549384</v>
      </c>
      <c r="I45" s="11"/>
      <c r="J45" s="13">
        <f t="shared" si="1"/>
        <v>744.96018101549384</v>
      </c>
      <c r="K45" s="13">
        <f t="shared" si="2"/>
        <v>1071.2527402485064</v>
      </c>
      <c r="L45" s="12">
        <f t="shared" si="6"/>
        <v>6120.559154784014</v>
      </c>
    </row>
    <row r="46" spans="1:13" x14ac:dyDescent="0.25">
      <c r="A46" s="28" t="s">
        <v>46</v>
      </c>
      <c r="B46" s="31">
        <f>SUM(I40:I44)</f>
        <v>11859.335838281673</v>
      </c>
      <c r="F46" s="23">
        <f t="shared" si="3"/>
        <v>7</v>
      </c>
      <c r="G46" s="12">
        <f t="shared" si="4"/>
        <v>1852.5371796892803</v>
      </c>
      <c r="H46" s="12">
        <f t="shared" si="5"/>
        <v>759.85938463580374</v>
      </c>
      <c r="I46" s="11"/>
      <c r="J46" s="13">
        <f t="shared" si="1"/>
        <v>759.85938463580374</v>
      </c>
      <c r="K46" s="13">
        <f t="shared" si="2"/>
        <v>1092.6777950534765</v>
      </c>
      <c r="L46" s="12">
        <f t="shared" si="6"/>
        <v>7213.236949837491</v>
      </c>
    </row>
    <row r="47" spans="1:13" x14ac:dyDescent="0.25">
      <c r="A47" s="28" t="s">
        <v>49</v>
      </c>
      <c r="B47" s="29">
        <f>(B45-B46)/B46</f>
        <v>1.6205456035858727</v>
      </c>
      <c r="C47" s="9">
        <f>((B45/B46)^(1/25))-1</f>
        <v>3.9287416291245325E-2</v>
      </c>
      <c r="D47" t="s">
        <v>61</v>
      </c>
      <c r="F47" s="11">
        <f t="shared" si="3"/>
        <v>8</v>
      </c>
      <c r="G47" s="12">
        <f t="shared" si="4"/>
        <v>1889.5879232830659</v>
      </c>
      <c r="H47" s="12">
        <f t="shared" si="5"/>
        <v>775.05657232851979</v>
      </c>
      <c r="I47" s="11"/>
      <c r="J47" s="13">
        <f t="shared" si="1"/>
        <v>775.05657232851979</v>
      </c>
      <c r="K47" s="13">
        <f t="shared" si="2"/>
        <v>1114.5313509545463</v>
      </c>
      <c r="L47" s="12">
        <f t="shared" si="6"/>
        <v>8327.7683007920368</v>
      </c>
    </row>
    <row r="48" spans="1:13" x14ac:dyDescent="0.25">
      <c r="F48" s="11">
        <f t="shared" si="3"/>
        <v>9</v>
      </c>
      <c r="G48" s="12">
        <f t="shared" si="4"/>
        <v>1927.3796817487273</v>
      </c>
      <c r="H48" s="12">
        <f t="shared" si="5"/>
        <v>790.5577037750902</v>
      </c>
      <c r="I48" s="11"/>
      <c r="J48" s="13">
        <f t="shared" si="1"/>
        <v>790.5577037750902</v>
      </c>
      <c r="K48" s="13">
        <f t="shared" si="2"/>
        <v>1136.8219779736371</v>
      </c>
      <c r="L48" s="12">
        <f t="shared" si="6"/>
        <v>9464.5902787656742</v>
      </c>
    </row>
    <row r="49" spans="6:13" x14ac:dyDescent="0.25">
      <c r="F49" s="11">
        <f t="shared" si="3"/>
        <v>10</v>
      </c>
      <c r="G49" s="12">
        <f t="shared" si="4"/>
        <v>1965.927275383702</v>
      </c>
      <c r="H49" s="12">
        <f t="shared" si="5"/>
        <v>806.36885785059201</v>
      </c>
      <c r="I49" s="11"/>
      <c r="J49" s="13">
        <f t="shared" si="1"/>
        <v>806.36885785059201</v>
      </c>
      <c r="K49" s="13">
        <f t="shared" si="2"/>
        <v>1159.5584175331101</v>
      </c>
      <c r="L49" s="12">
        <f t="shared" si="6"/>
        <v>10624.148696298784</v>
      </c>
    </row>
    <row r="50" spans="6:13" x14ac:dyDescent="0.25">
      <c r="F50" s="24">
        <f t="shared" si="3"/>
        <v>11</v>
      </c>
      <c r="G50" s="25">
        <f t="shared" si="4"/>
        <v>2005.2458208913761</v>
      </c>
      <c r="H50" s="25">
        <f t="shared" si="5"/>
        <v>822.4962350076039</v>
      </c>
      <c r="I50" s="24"/>
      <c r="J50" s="26">
        <f t="shared" si="1"/>
        <v>822.4962350076039</v>
      </c>
      <c r="K50" s="26">
        <f t="shared" si="2"/>
        <v>1182.7495858837722</v>
      </c>
      <c r="L50" s="14">
        <f t="shared" si="6"/>
        <v>11806.898282182556</v>
      </c>
      <c r="M50" s="15" t="s">
        <v>58</v>
      </c>
    </row>
    <row r="51" spans="6:13" x14ac:dyDescent="0.25">
      <c r="F51" s="11">
        <f t="shared" si="3"/>
        <v>12</v>
      </c>
      <c r="G51" s="12">
        <f t="shared" si="4"/>
        <v>2045.3507373092036</v>
      </c>
      <c r="H51" s="12">
        <f t="shared" si="5"/>
        <v>838.94615970775601</v>
      </c>
      <c r="I51" s="11"/>
      <c r="J51" s="13">
        <f t="shared" si="1"/>
        <v>838.94615970775601</v>
      </c>
      <c r="K51" s="13">
        <f t="shared" si="2"/>
        <v>1206.4045776014477</v>
      </c>
      <c r="L51" s="12">
        <f t="shared" si="6"/>
        <v>13013.302859784004</v>
      </c>
    </row>
    <row r="52" spans="6:13" x14ac:dyDescent="0.25">
      <c r="F52" s="11">
        <f t="shared" si="3"/>
        <v>13</v>
      </c>
      <c r="G52" s="12">
        <f t="shared" si="4"/>
        <v>2086.2577520553878</v>
      </c>
      <c r="H52" s="12">
        <f t="shared" si="5"/>
        <v>855.72508290191115</v>
      </c>
      <c r="I52" s="11"/>
      <c r="J52" s="13">
        <f t="shared" si="1"/>
        <v>855.72508290191115</v>
      </c>
      <c r="K52" s="13">
        <f t="shared" si="2"/>
        <v>1230.5326691534765</v>
      </c>
      <c r="L52" s="12">
        <f t="shared" si="6"/>
        <v>14243.835528937481</v>
      </c>
    </row>
    <row r="53" spans="6:13" x14ac:dyDescent="0.25">
      <c r="F53" s="11">
        <f t="shared" si="3"/>
        <v>14</v>
      </c>
      <c r="G53" s="12">
        <f t="shared" si="4"/>
        <v>2127.9829070964956</v>
      </c>
      <c r="H53" s="12">
        <f t="shared" si="5"/>
        <v>872.83958455994934</v>
      </c>
      <c r="I53" s="11"/>
      <c r="J53" s="13">
        <f t="shared" si="1"/>
        <v>872.83958455994934</v>
      </c>
      <c r="K53" s="13">
        <f t="shared" si="2"/>
        <v>1255.1433225365463</v>
      </c>
      <c r="L53" s="12">
        <f t="shared" si="6"/>
        <v>15498.978851474027</v>
      </c>
    </row>
    <row r="54" spans="6:13" x14ac:dyDescent="0.25">
      <c r="F54" s="11">
        <f t="shared" si="3"/>
        <v>15</v>
      </c>
      <c r="G54" s="12">
        <f t="shared" si="4"/>
        <v>2170.5425652384256</v>
      </c>
      <c r="H54" s="12">
        <f t="shared" si="5"/>
        <v>890.29637625114833</v>
      </c>
      <c r="I54" s="11"/>
      <c r="J54" s="13">
        <f t="shared" si="1"/>
        <v>890.29637625114833</v>
      </c>
      <c r="K54" s="13">
        <f t="shared" si="2"/>
        <v>1280.2461889872773</v>
      </c>
      <c r="L54" s="12">
        <f t="shared" si="6"/>
        <v>16779.225040461301</v>
      </c>
    </row>
    <row r="55" spans="6:13" x14ac:dyDescent="0.25">
      <c r="F55" s="11">
        <f t="shared" si="3"/>
        <v>16</v>
      </c>
      <c r="G55" s="12">
        <f t="shared" si="4"/>
        <v>2213.9534165431942</v>
      </c>
      <c r="H55" s="12">
        <f t="shared" si="5"/>
        <v>908.10230377617131</v>
      </c>
      <c r="I55" s="11"/>
      <c r="J55" s="13">
        <f t="shared" si="1"/>
        <v>908.10230377617131</v>
      </c>
      <c r="K55" s="13">
        <f t="shared" si="2"/>
        <v>1305.8511127670229</v>
      </c>
      <c r="L55" s="12">
        <f t="shared" si="6"/>
        <v>18085.076153228325</v>
      </c>
    </row>
    <row r="56" spans="6:13" x14ac:dyDescent="0.25">
      <c r="F56" s="11">
        <f t="shared" si="3"/>
        <v>17</v>
      </c>
      <c r="G56" s="12">
        <f t="shared" si="4"/>
        <v>2258.2324848740582</v>
      </c>
      <c r="H56" s="12">
        <f t="shared" si="5"/>
        <v>926.26434985169476</v>
      </c>
      <c r="I56" s="11"/>
      <c r="J56" s="13">
        <f t="shared" si="1"/>
        <v>926.26434985169476</v>
      </c>
      <c r="K56" s="13">
        <f t="shared" si="2"/>
        <v>1331.9681350223634</v>
      </c>
      <c r="L56" s="12">
        <f t="shared" si="6"/>
        <v>19417.044288250687</v>
      </c>
    </row>
    <row r="57" spans="6:13" x14ac:dyDescent="0.25">
      <c r="F57" s="11">
        <f t="shared" si="3"/>
        <v>18</v>
      </c>
      <c r="G57" s="12">
        <f t="shared" si="4"/>
        <v>2303.3971345715395</v>
      </c>
      <c r="H57" s="12">
        <f t="shared" si="5"/>
        <v>944.78963684872872</v>
      </c>
      <c r="I57" s="11"/>
      <c r="J57" s="13">
        <f t="shared" si="1"/>
        <v>944.78963684872872</v>
      </c>
      <c r="K57" s="13">
        <f t="shared" si="2"/>
        <v>1358.6074977228109</v>
      </c>
      <c r="L57" s="12">
        <f t="shared" si="6"/>
        <v>20775.651785973499</v>
      </c>
    </row>
    <row r="58" spans="6:13" x14ac:dyDescent="0.25">
      <c r="F58" s="11">
        <f t="shared" si="3"/>
        <v>19</v>
      </c>
      <c r="G58" s="12">
        <f t="shared" si="4"/>
        <v>2349.4650772629702</v>
      </c>
      <c r="H58" s="12">
        <f t="shared" si="5"/>
        <v>963.68542958570333</v>
      </c>
      <c r="I58" s="11"/>
      <c r="J58" s="13">
        <f t="shared" si="1"/>
        <v>963.68542958570333</v>
      </c>
      <c r="K58" s="13">
        <f t="shared" si="2"/>
        <v>1385.7796476772669</v>
      </c>
      <c r="L58" s="12">
        <f t="shared" si="6"/>
        <v>22161.431433650767</v>
      </c>
    </row>
    <row r="59" spans="6:13" x14ac:dyDescent="0.25">
      <c r="F59" s="11">
        <f t="shared" si="3"/>
        <v>20</v>
      </c>
      <c r="G59" s="12">
        <f t="shared" si="4"/>
        <v>2396.4543788082296</v>
      </c>
      <c r="H59" s="12">
        <f t="shared" si="5"/>
        <v>982.95913817741746</v>
      </c>
      <c r="I59" s="11"/>
      <c r="J59" s="13">
        <f t="shared" si="1"/>
        <v>982.95913817741746</v>
      </c>
      <c r="K59" s="13">
        <f t="shared" si="2"/>
        <v>1413.4952406308121</v>
      </c>
      <c r="L59" s="12">
        <f t="shared" si="6"/>
        <v>23574.926674281578</v>
      </c>
    </row>
    <row r="60" spans="6:13" x14ac:dyDescent="0.25">
      <c r="F60" s="11">
        <f t="shared" si="3"/>
        <v>21</v>
      </c>
      <c r="G60" s="12">
        <f t="shared" si="4"/>
        <v>2444.3834663843941</v>
      </c>
      <c r="H60" s="12">
        <f t="shared" si="5"/>
        <v>1002.6183209409659</v>
      </c>
      <c r="I60" s="11"/>
      <c r="J60" s="13">
        <f t="shared" si="1"/>
        <v>1002.6183209409659</v>
      </c>
      <c r="K60" s="13">
        <f t="shared" si="2"/>
        <v>1441.7651454434281</v>
      </c>
      <c r="L60" s="12">
        <f t="shared" si="6"/>
        <v>25016.691819725009</v>
      </c>
    </row>
    <row r="61" spans="6:13" x14ac:dyDescent="0.25">
      <c r="F61" s="11">
        <f t="shared" si="3"/>
        <v>22</v>
      </c>
      <c r="G61" s="12">
        <f t="shared" si="4"/>
        <v>2493.271135712082</v>
      </c>
      <c r="H61" s="12">
        <f t="shared" si="5"/>
        <v>1022.6706873597852</v>
      </c>
      <c r="I61" s="11"/>
      <c r="J61" s="13">
        <f t="shared" si="1"/>
        <v>1022.6706873597852</v>
      </c>
      <c r="K61" s="13">
        <f t="shared" si="2"/>
        <v>1470.6004483522968</v>
      </c>
      <c r="L61" s="12">
        <f t="shared" si="6"/>
        <v>26487.292268077304</v>
      </c>
    </row>
    <row r="62" spans="6:13" x14ac:dyDescent="0.25">
      <c r="F62" s="11">
        <f t="shared" si="3"/>
        <v>23</v>
      </c>
      <c r="G62" s="12">
        <f t="shared" si="4"/>
        <v>2543.1365584263235</v>
      </c>
      <c r="H62" s="12">
        <f t="shared" si="5"/>
        <v>1043.124101106981</v>
      </c>
      <c r="I62" s="11"/>
      <c r="J62" s="13">
        <f t="shared" si="1"/>
        <v>1043.124101106981</v>
      </c>
      <c r="K62" s="13">
        <f t="shared" si="2"/>
        <v>1500.0124573193425</v>
      </c>
      <c r="L62" s="12">
        <f t="shared" si="6"/>
        <v>27987.304725396647</v>
      </c>
    </row>
    <row r="63" spans="6:13" x14ac:dyDescent="0.25">
      <c r="F63" s="11">
        <f t="shared" si="3"/>
        <v>24</v>
      </c>
      <c r="G63" s="12">
        <f t="shared" si="4"/>
        <v>2593.9992895948499</v>
      </c>
      <c r="H63" s="12">
        <f t="shared" si="5"/>
        <v>1063.9865831291206</v>
      </c>
      <c r="I63" s="11"/>
      <c r="J63" s="13">
        <f t="shared" si="1"/>
        <v>1063.9865831291206</v>
      </c>
      <c r="K63" s="13">
        <f t="shared" si="2"/>
        <v>1530.0127064657293</v>
      </c>
      <c r="L63" s="12">
        <f t="shared" si="6"/>
        <v>29517.317431862375</v>
      </c>
    </row>
    <row r="64" spans="6:13" x14ac:dyDescent="0.25">
      <c r="F64" s="11">
        <f t="shared" si="3"/>
        <v>25</v>
      </c>
      <c r="G64" s="12">
        <f t="shared" si="4"/>
        <v>2645.8792753867469</v>
      </c>
      <c r="H64" s="12">
        <f t="shared" si="5"/>
        <v>1085.2663147917031</v>
      </c>
      <c r="I64" s="11"/>
      <c r="J64" s="13">
        <f t="shared" si="1"/>
        <v>1085.2663147917031</v>
      </c>
      <c r="K64" s="13">
        <f t="shared" si="2"/>
        <v>1560.6129605950439</v>
      </c>
      <c r="L64" s="12">
        <f t="shared" si="6"/>
        <v>31077.930392457416</v>
      </c>
    </row>
  </sheetData>
  <mergeCells count="8">
    <mergeCell ref="A39:C39"/>
    <mergeCell ref="M40:M44"/>
    <mergeCell ref="G38:H38"/>
    <mergeCell ref="I38:I39"/>
    <mergeCell ref="F38:F39"/>
    <mergeCell ref="J38:J39"/>
    <mergeCell ref="K38:K39"/>
    <mergeCell ref="L38:L39"/>
  </mergeCells>
  <pageMargins left="0.7" right="0.7" top="0.75" bottom="0.75" header="0.3" footer="0.3"/>
  <pageSetup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>Colby College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Whitney  King</dc:creator>
  <cp:lastModifiedBy>Windows User</cp:lastModifiedBy>
  <dcterms:created xsi:type="dcterms:W3CDTF">2015-03-10T00:49:36Z</dcterms:created>
  <dcterms:modified xsi:type="dcterms:W3CDTF">2018-03-15T01:32:56Z</dcterms:modified>
</cp:coreProperties>
</file>